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85" yWindow="120" windowWidth="15570" windowHeight="8670"/>
  </bookViews>
  <sheets>
    <sheet name="ERZD rules" sheetId="1" r:id="rId1"/>
    <sheet name="Gyga grids" sheetId="2" r:id="rId2"/>
    <sheet name="drainage" sheetId="3" r:id="rId3"/>
  </sheets>
  <calcPr calcId="145621"/>
</workbook>
</file>

<file path=xl/calcChain.xml><?xml version="1.0" encoding="utf-8"?>
<calcChain xmlns="http://schemas.openxmlformats.org/spreadsheetml/2006/main">
  <c r="T9" i="1" l="1"/>
  <c r="T32" i="1" l="1"/>
  <c r="T30" i="1"/>
  <c r="T28" i="1"/>
  <c r="T17" i="1"/>
  <c r="T16" i="1"/>
  <c r="T13" i="1"/>
  <c r="T12" i="1"/>
  <c r="T11" i="1"/>
  <c r="T10" i="1"/>
  <c r="T41" i="1"/>
  <c r="T40" i="1"/>
  <c r="T39" i="1"/>
  <c r="T38" i="1"/>
  <c r="T37" i="1"/>
  <c r="T36" i="1"/>
  <c r="T35" i="1"/>
  <c r="T34" i="1"/>
  <c r="T33" i="1"/>
  <c r="T31" i="1"/>
  <c r="T29" i="1"/>
  <c r="T27" i="1"/>
  <c r="T26" i="1"/>
  <c r="T25" i="1"/>
  <c r="T24" i="1"/>
  <c r="T23" i="1"/>
  <c r="T22" i="1"/>
  <c r="T21" i="1"/>
  <c r="T20" i="1"/>
  <c r="T19" i="1"/>
  <c r="T18" i="1"/>
  <c r="T15" i="1"/>
  <c r="T14" i="1"/>
  <c r="T8" i="1"/>
  <c r="T7" i="1"/>
  <c r="T6" i="1"/>
  <c r="T5" i="1"/>
  <c r="T4" i="1"/>
  <c r="T3" i="1"/>
  <c r="X59" i="1" l="1"/>
  <c r="X67" i="1" s="1"/>
  <c r="Y41" i="1"/>
  <c r="U41" i="1"/>
  <c r="AB35" i="1"/>
  <c r="Y35" i="1"/>
  <c r="U35" i="1"/>
  <c r="AB34" i="1"/>
  <c r="Y34" i="1"/>
  <c r="U34" i="1"/>
  <c r="AB36" i="1"/>
  <c r="Y36" i="1"/>
  <c r="U36" i="1"/>
  <c r="AB37" i="1"/>
  <c r="Y37" i="1"/>
  <c r="X37" i="1"/>
  <c r="U37" i="1"/>
  <c r="V37" i="1" s="1"/>
  <c r="AB26" i="1"/>
  <c r="Y26" i="1"/>
  <c r="U26" i="1"/>
  <c r="AB23" i="1"/>
  <c r="Y23" i="1"/>
  <c r="X23" i="1"/>
  <c r="U23" i="1"/>
  <c r="AB22" i="1"/>
  <c r="Y22" i="1"/>
  <c r="X22" i="1"/>
  <c r="U22" i="1"/>
  <c r="V22" i="1" s="1"/>
  <c r="AB20" i="1"/>
  <c r="Y20" i="1"/>
  <c r="U20" i="1"/>
  <c r="V20" i="1" s="1"/>
  <c r="AB19" i="1"/>
  <c r="Y19" i="1"/>
  <c r="U19" i="1"/>
  <c r="V19" i="1" s="1"/>
  <c r="AB14" i="1"/>
  <c r="Y14" i="1"/>
  <c r="U14" i="1"/>
  <c r="AB13" i="1"/>
  <c r="Y13" i="1"/>
  <c r="U13" i="1"/>
  <c r="V13" i="1" s="1"/>
  <c r="AB12" i="1"/>
  <c r="Y12" i="1"/>
  <c r="U12" i="1"/>
  <c r="V12" i="1" s="1"/>
  <c r="AB11" i="1"/>
  <c r="Y11" i="1"/>
  <c r="X11" i="1"/>
  <c r="U11" i="1"/>
  <c r="AB10" i="1"/>
  <c r="Y10" i="1"/>
  <c r="X10" i="1"/>
  <c r="U10" i="1"/>
  <c r="V10" i="1" s="1"/>
  <c r="AB5" i="1"/>
  <c r="Y5" i="1"/>
  <c r="U5" i="1"/>
  <c r="V5" i="1" s="1"/>
  <c r="AB8" i="1"/>
  <c r="Y8" i="1"/>
  <c r="U8" i="1"/>
  <c r="V8" i="1" s="1"/>
  <c r="AB7" i="1"/>
  <c r="Y7" i="1"/>
  <c r="U7" i="1"/>
  <c r="V7" i="1" s="1"/>
  <c r="V41" i="1" l="1"/>
  <c r="W41" i="1" s="1"/>
  <c r="X41" i="1" s="1"/>
  <c r="V35" i="1"/>
  <c r="W35" i="1" s="1"/>
  <c r="X35" i="1" s="1"/>
  <c r="V34" i="1"/>
  <c r="W34" i="1" s="1"/>
  <c r="X34" i="1" s="1"/>
  <c r="AC13" i="1"/>
  <c r="W13" i="1"/>
  <c r="X13" i="1" s="1"/>
  <c r="V36" i="1"/>
  <c r="AC36" i="1" s="1"/>
  <c r="AC37" i="1"/>
  <c r="W37" i="1"/>
  <c r="V26" i="1"/>
  <c r="W26" i="1" s="1"/>
  <c r="X26" i="1" s="1"/>
  <c r="V23" i="1"/>
  <c r="W23" i="1" s="1"/>
  <c r="W22" i="1"/>
  <c r="AC22" i="1"/>
  <c r="W20" i="1"/>
  <c r="X20" i="1" s="1"/>
  <c r="AC20" i="1"/>
  <c r="AC19" i="1"/>
  <c r="W19" i="1"/>
  <c r="X19" i="1" s="1"/>
  <c r="V14" i="1"/>
  <c r="AC14" i="1" s="1"/>
  <c r="V11" i="1"/>
  <c r="W11" i="1" s="1"/>
  <c r="AC12" i="1"/>
  <c r="W12" i="1"/>
  <c r="X12" i="1" s="1"/>
  <c r="AC10" i="1"/>
  <c r="W10" i="1"/>
  <c r="W5" i="1"/>
  <c r="X5" i="1" s="1"/>
  <c r="AC5" i="1"/>
  <c r="W8" i="1"/>
  <c r="X8" i="1" s="1"/>
  <c r="AC8" i="1"/>
  <c r="AC7" i="1"/>
  <c r="W7" i="1"/>
  <c r="X7" i="1" s="1"/>
  <c r="AB38" i="1"/>
  <c r="AB39" i="1"/>
  <c r="AB40" i="1"/>
  <c r="AB33" i="1"/>
  <c r="AB32" i="1"/>
  <c r="AB31" i="1"/>
  <c r="AB30" i="1"/>
  <c r="AB29" i="1"/>
  <c r="AB28" i="1"/>
  <c r="AB27" i="1"/>
  <c r="AB25" i="1"/>
  <c r="AB24" i="1"/>
  <c r="AB21" i="1"/>
  <c r="AB18" i="1"/>
  <c r="AB17" i="1"/>
  <c r="AB16" i="1"/>
  <c r="AB15" i="1"/>
  <c r="AB9" i="1"/>
  <c r="AB6" i="1"/>
  <c r="AB4" i="1"/>
  <c r="AB3" i="1"/>
  <c r="Y38" i="1"/>
  <c r="Y39" i="1"/>
  <c r="Y40" i="1"/>
  <c r="Y33" i="1"/>
  <c r="Y32" i="1"/>
  <c r="Y31" i="1"/>
  <c r="Y30" i="1"/>
  <c r="Y29" i="1"/>
  <c r="Y28" i="1"/>
  <c r="Y27" i="1"/>
  <c r="Y25" i="1"/>
  <c r="Y24" i="1"/>
  <c r="Y21" i="1"/>
  <c r="Y18" i="1"/>
  <c r="Y17" i="1"/>
  <c r="Y16" i="1"/>
  <c r="Y15" i="1"/>
  <c r="Y9" i="1"/>
  <c r="Y6" i="1"/>
  <c r="Y4" i="1"/>
  <c r="Y3" i="1"/>
  <c r="U38" i="1"/>
  <c r="V38" i="1" s="1"/>
  <c r="U39" i="1"/>
  <c r="V39" i="1" s="1"/>
  <c r="U40" i="1"/>
  <c r="V40" i="1" s="1"/>
  <c r="U33" i="1"/>
  <c r="V33" i="1" s="1"/>
  <c r="U32" i="1"/>
  <c r="V32" i="1" s="1"/>
  <c r="U31" i="1"/>
  <c r="V31" i="1" s="1"/>
  <c r="U30" i="1"/>
  <c r="V30" i="1" s="1"/>
  <c r="U29" i="1"/>
  <c r="V29" i="1" s="1"/>
  <c r="U28" i="1"/>
  <c r="V28" i="1" s="1"/>
  <c r="U27" i="1"/>
  <c r="V27" i="1" s="1"/>
  <c r="AC27" i="1" s="1"/>
  <c r="U25" i="1"/>
  <c r="V25" i="1" s="1"/>
  <c r="U24" i="1"/>
  <c r="V24" i="1" s="1"/>
  <c r="U21" i="1"/>
  <c r="V21" i="1" s="1"/>
  <c r="U18" i="1"/>
  <c r="V18" i="1" s="1"/>
  <c r="U17" i="1"/>
  <c r="V17" i="1" s="1"/>
  <c r="U16" i="1"/>
  <c r="V16" i="1" s="1"/>
  <c r="U15" i="1"/>
  <c r="V15" i="1" s="1"/>
  <c r="U9" i="1"/>
  <c r="V9" i="1" s="1"/>
  <c r="U6" i="1"/>
  <c r="V6" i="1" s="1"/>
  <c r="U4" i="1"/>
  <c r="V4" i="1" s="1"/>
  <c r="U3" i="1"/>
  <c r="AC34" i="1" l="1"/>
  <c r="AC35" i="1"/>
  <c r="AC11" i="1"/>
  <c r="AC23" i="1"/>
  <c r="AC26" i="1"/>
  <c r="W36" i="1"/>
  <c r="X36" i="1" s="1"/>
  <c r="W14" i="1"/>
  <c r="X14" i="1" s="1"/>
  <c r="W6" i="1"/>
  <c r="W15" i="1"/>
  <c r="W17" i="1"/>
  <c r="W21" i="1"/>
  <c r="W25" i="1"/>
  <c r="W28" i="1"/>
  <c r="X28" i="1" s="1"/>
  <c r="W30" i="1"/>
  <c r="W32" i="1"/>
  <c r="W40" i="1"/>
  <c r="W38" i="1"/>
  <c r="W4" i="1"/>
  <c r="W9" i="1"/>
  <c r="W16" i="1"/>
  <c r="W18" i="1"/>
  <c r="W24" i="1"/>
  <c r="W27" i="1"/>
  <c r="X27" i="1" s="1"/>
  <c r="W29" i="1"/>
  <c r="W31" i="1"/>
  <c r="X31" i="1" s="1"/>
  <c r="W33" i="1"/>
  <c r="W39" i="1"/>
  <c r="AC4" i="1"/>
  <c r="AC9" i="1"/>
  <c r="AC16" i="1"/>
  <c r="AC18" i="1"/>
  <c r="AC24" i="1"/>
  <c r="AC29" i="1"/>
  <c r="AC31" i="1"/>
  <c r="AC33" i="1"/>
  <c r="AC39" i="1"/>
  <c r="AC6" i="1"/>
  <c r="AC15" i="1"/>
  <c r="AC17" i="1"/>
  <c r="AC21" i="1"/>
  <c r="AC25" i="1"/>
  <c r="AC28" i="1"/>
  <c r="AC30" i="1"/>
  <c r="AC32" i="1"/>
  <c r="AC40" i="1"/>
  <c r="AC38" i="1"/>
  <c r="X4" i="1"/>
  <c r="X6" i="1"/>
  <c r="X15" i="1"/>
  <c r="X16" i="1"/>
  <c r="X17" i="1"/>
  <c r="X18" i="1"/>
  <c r="X21" i="1"/>
  <c r="X24" i="1"/>
  <c r="X25" i="1"/>
  <c r="X29" i="1"/>
  <c r="X30" i="1"/>
  <c r="X32" i="1"/>
  <c r="X33" i="1"/>
  <c r="X40" i="1"/>
  <c r="X39" i="1"/>
  <c r="X38" i="1"/>
  <c r="V3" i="1"/>
  <c r="AC3" i="1" s="1"/>
  <c r="W3" i="1" l="1"/>
  <c r="X3" i="1" s="1"/>
  <c r="X9" i="1"/>
  <c r="X54" i="1" l="1"/>
</calcChain>
</file>

<file path=xl/sharedStrings.xml><?xml version="1.0" encoding="utf-8"?>
<sst xmlns="http://schemas.openxmlformats.org/spreadsheetml/2006/main" count="539" uniqueCount="251">
  <si>
    <t>CfPC</t>
  </si>
  <si>
    <t>VMCpF00</t>
  </si>
  <si>
    <t>Sand*100/(Sa+Si+Cl)</t>
  </si>
  <si>
    <t>Clay, n - clay, n-1</t>
  </si>
  <si>
    <t>Sand, n - sand, n-1</t>
  </si>
  <si>
    <t>HorDes</t>
  </si>
  <si>
    <t>R</t>
  </si>
  <si>
    <t>pHH2O low</t>
  </si>
  <si>
    <t>pHH2O high</t>
  </si>
  <si>
    <t>CaCO3</t>
  </si>
  <si>
    <t>CaSO4</t>
  </si>
  <si>
    <t>EC</t>
  </si>
  <si>
    <t>&gt; 6.7</t>
  </si>
  <si>
    <t>ExNa</t>
  </si>
  <si>
    <t>&gt; 0.4</t>
  </si>
  <si>
    <t>&gt; 5</t>
  </si>
  <si>
    <t>ExAl*100/eCEC</t>
  </si>
  <si>
    <t>ExAl</t>
  </si>
  <si>
    <t>&gt; 6</t>
  </si>
  <si>
    <t>ExAcid*100/eCEC</t>
  </si>
  <si>
    <t>ExAcid</t>
  </si>
  <si>
    <t>&gt; 6.5</t>
  </si>
  <si>
    <t>oB</t>
  </si>
  <si>
    <t>oCu</t>
  </si>
  <si>
    <t>oZn</t>
  </si>
  <si>
    <t>oS</t>
  </si>
  <si>
    <t>Foothold</t>
  </si>
  <si>
    <t>Porosity</t>
  </si>
  <si>
    <t>Textural change</t>
  </si>
  <si>
    <t>Texture</t>
  </si>
  <si>
    <t>Acidity</t>
  </si>
  <si>
    <t>Alkalinity</t>
  </si>
  <si>
    <t>Induration</t>
  </si>
  <si>
    <t>Salinity</t>
  </si>
  <si>
    <t>Sodicity</t>
  </si>
  <si>
    <t>Toxicity</t>
  </si>
  <si>
    <t>Aeration</t>
  </si>
  <si>
    <t>ColorM</t>
  </si>
  <si>
    <t>Reduced matrix</t>
  </si>
  <si>
    <t>Verticity</t>
  </si>
  <si>
    <t>Roots</t>
  </si>
  <si>
    <t>N</t>
  </si>
  <si>
    <t>Y</t>
  </si>
  <si>
    <t>-</t>
  </si>
  <si>
    <t>Validate</t>
  </si>
  <si>
    <t>R(/x)</t>
  </si>
  <si>
    <t>Layers-profile</t>
  </si>
  <si>
    <t>RockDpth</t>
  </si>
  <si>
    <t>ObsDpth</t>
  </si>
  <si>
    <t>RootDpth</t>
  </si>
  <si>
    <t>v%</t>
  </si>
  <si>
    <t>kg/dm3</t>
  </si>
  <si>
    <t>w%</t>
  </si>
  <si>
    <t>g/kg</t>
  </si>
  <si>
    <t>dS/m</t>
  </si>
  <si>
    <t>%</t>
  </si>
  <si>
    <t>cmolc/kg</t>
  </si>
  <si>
    <t>mg/kg</t>
  </si>
  <si>
    <t>Derived from layers-profile</t>
  </si>
  <si>
    <t>cm</t>
  </si>
  <si>
    <t>Above factor</t>
  </si>
  <si>
    <t>Assess Updepth of most shallow layer (cm)</t>
  </si>
  <si>
    <t>Assess most limiting effectivity (%), plus associated factor, per layer</t>
  </si>
  <si>
    <t>&lt; 0</t>
  </si>
  <si>
    <t>= ERZD</t>
  </si>
  <si>
    <t>150</t>
  </si>
  <si>
    <t>Effective rooting (cm)</t>
  </si>
  <si>
    <t>Trend</t>
  </si>
  <si>
    <t>a</t>
  </si>
  <si>
    <t>b</t>
  </si>
  <si>
    <t>Assess EffRoot-score Y (0-100%) based on property value X</t>
  </si>
  <si>
    <t>EffR%(y)</t>
  </si>
  <si>
    <t>EffR%(y) final</t>
  </si>
  <si>
    <t>Assess threshold property value Y based on threshold EffRoot-score X</t>
  </si>
  <si>
    <t>Value (x)</t>
  </si>
  <si>
    <t>Threshold value</t>
  </si>
  <si>
    <t>Layers/voxels</t>
  </si>
  <si>
    <t>VMCpF05</t>
  </si>
  <si>
    <t>VMCpF10</t>
  </si>
  <si>
    <t>Threshold score =</t>
  </si>
  <si>
    <t>oPoros</t>
  </si>
  <si>
    <t>AfSP</t>
  </si>
  <si>
    <t>AfSS</t>
  </si>
  <si>
    <t>Grids250</t>
  </si>
  <si>
    <t>BD02.1;BD02.3</t>
  </si>
  <si>
    <t>&gt; 0.6</t>
  </si>
  <si>
    <t>&lt;&gt;CfPc;&lt;&gt;BD01;&lt;&gt;BD01.1;&lt;&gt;BD02.3</t>
  </si>
  <si>
    <t>CfPc;BD01;BD01.1;BD02.3</t>
  </si>
  <si>
    <t>&lt;&gt;Clay;&lt;&gt;CfPc;BD01;BD01.1;BD02.3</t>
  </si>
  <si>
    <t>&lt;&gt;Clay;CfPc;BD01;BD01.1;BD02.3</t>
  </si>
  <si>
    <t>BlkDens</t>
  </si>
  <si>
    <t>&gt; 2.2</t>
  </si>
  <si>
    <t>pHKCl low</t>
  </si>
  <si>
    <t>pHCaCl2 low</t>
  </si>
  <si>
    <t>pHKCl high</t>
  </si>
  <si>
    <t>pHCaCl2 high</t>
  </si>
  <si>
    <t>EL04</t>
  </si>
  <si>
    <t>ECe</t>
  </si>
  <si>
    <t>oMn</t>
  </si>
  <si>
    <t>oFe</t>
  </si>
  <si>
    <t>Soil quality</t>
  </si>
  <si>
    <t>Soil property</t>
  </si>
  <si>
    <t>Method query</t>
  </si>
  <si>
    <t>Profiles/pixels</t>
  </si>
  <si>
    <t>Level</t>
  </si>
  <si>
    <t>Unit</t>
  </si>
  <si>
    <t>Qualitative</t>
  </si>
  <si>
    <t>= Lowest score (per layer)</t>
  </si>
  <si>
    <t>Assess shallowest depth (cm) = ERZD</t>
  </si>
  <si>
    <t>Stcknss</t>
  </si>
  <si>
    <t>StrType</t>
  </si>
  <si>
    <t>Pores</t>
  </si>
  <si>
    <t>Various</t>
  </si>
  <si>
    <t>StrSize,StrGrade,StrType</t>
  </si>
  <si>
    <t>BlkDens - (1.6-(0.003*Clay))</t>
  </si>
  <si>
    <t>BlkDens2 - (1.6-(0.003*Clay))</t>
  </si>
  <si>
    <t>&gt; 2.0</t>
  </si>
  <si>
    <t>BlkDens -CfBlkDens</t>
  </si>
  <si>
    <t>BlkDens - CfBlkDens - (1.6-(0.003*Clay))</t>
  </si>
  <si>
    <t>oDiagnHor,oDiagnPrp</t>
  </si>
  <si>
    <t>#Profiles</t>
  </si>
  <si>
    <t>#Layers</t>
  </si>
  <si>
    <t>Coarse fragments</t>
  </si>
  <si>
    <t>TetaS (PTF-Wosten)</t>
  </si>
  <si>
    <t>Pore volume</t>
  </si>
  <si>
    <t>Pore volume (filled with water)</t>
  </si>
  <si>
    <t>Bulk density fine earth</t>
  </si>
  <si>
    <t>Bulk density whole earth</t>
  </si>
  <si>
    <t>Bulk density unknown earth</t>
  </si>
  <si>
    <t>Sand fraction</t>
  </si>
  <si>
    <t>Clay increase</t>
  </si>
  <si>
    <t>Sand increase</t>
  </si>
  <si>
    <t>pH H2O</t>
  </si>
  <si>
    <t>pH KCl</t>
  </si>
  <si>
    <t>pH CaCl2</t>
  </si>
  <si>
    <t>Carbonate</t>
  </si>
  <si>
    <t>Gypsum</t>
  </si>
  <si>
    <t>Electric conductivity saturated</t>
  </si>
  <si>
    <t>Electric conductivity</t>
  </si>
  <si>
    <t>Exchangeable sodium</t>
  </si>
  <si>
    <t>Exchangeable acidity saturation (eCEC= sum exch bases &amp; exch acidity)</t>
  </si>
  <si>
    <t>Exchangeable aluminium</t>
  </si>
  <si>
    <t>ExNa*100/CECsoil</t>
  </si>
  <si>
    <t>Exchangeable acidity (= sum exch Al3+ &amp; exch H+)</t>
  </si>
  <si>
    <t>Exchangeable sodium(+) saturation (ESP)</t>
  </si>
  <si>
    <t>Exchangeable aluminium(3+) saturation (eCEC= sum exch bases &amp; exch acidity)</t>
  </si>
  <si>
    <t>oExtrFe (1,2,3,T)</t>
  </si>
  <si>
    <t>oExtrAl (1,2,3)</t>
  </si>
  <si>
    <t>Extractable iron (4 columns)</t>
  </si>
  <si>
    <t>Extractable aluminium (3 columns)</t>
  </si>
  <si>
    <t>Iron content</t>
  </si>
  <si>
    <t>Manganese content</t>
  </si>
  <si>
    <t>Zinc content</t>
  </si>
  <si>
    <t>Copper content</t>
  </si>
  <si>
    <t>Boron content</t>
  </si>
  <si>
    <t>Sulfur content</t>
  </si>
  <si>
    <t>Max (maize)</t>
  </si>
  <si>
    <t>SAND</t>
  </si>
  <si>
    <t>SILT</t>
  </si>
  <si>
    <t>CLAY</t>
  </si>
  <si>
    <t>ORG C</t>
  </si>
  <si>
    <t>CEC</t>
  </si>
  <si>
    <t>BULK DENS</t>
  </si>
  <si>
    <t>PH H2O</t>
  </si>
  <si>
    <t>Layers/voxels (6 sd GSM)</t>
  </si>
  <si>
    <t>AWC (m3/m3)</t>
  </si>
  <si>
    <t>COARSE FRAGMENTS (m3/m3)</t>
  </si>
  <si>
    <t>ERZD (cm)</t>
  </si>
  <si>
    <t>TetaS, PTF-Wosten (m3/m3)</t>
  </si>
  <si>
    <t>BULK DENS (kg/m3)</t>
  </si>
  <si>
    <t>SAND (w%)</t>
  </si>
  <si>
    <t>CaCO3 (CARBONATES) (g/kg)</t>
  </si>
  <si>
    <t>CaSO4 (GYPSUM) (g/kg)</t>
  </si>
  <si>
    <t>Exch NA+ (cmolc/kg = meq/100g)</t>
  </si>
  <si>
    <t>EC (dS/m = mmho/cm)</t>
  </si>
  <si>
    <t>CEC soil (cmol/kg)</t>
  </si>
  <si>
    <t>Exch AL3+ (cmolc/kg)</t>
  </si>
  <si>
    <t>USDA texture class</t>
  </si>
  <si>
    <t>Exch BASES (Ca+Mg+K+Na) (cmolc/kg)</t>
  </si>
  <si>
    <t>Exch ACIDITY (Al+H) (cmolc/kg)</t>
  </si>
  <si>
    <t>DEPTH TO MAX ROOT ZONE = 150 (cm)</t>
  </si>
  <si>
    <t>DEPTH TO UNDRAINED (cm)</t>
  </si>
  <si>
    <t>SHALLOWEST DEPTH TO ROOT RESTRICTION (cm) = ERZD</t>
  </si>
  <si>
    <t>Grids required by AfSIS-GYGA collaboration ToR's.</t>
  </si>
  <si>
    <t>The exceptionally high or low values are not outliers!</t>
  </si>
  <si>
    <r>
      <t xml:space="preserve">The exceptionally high or low values are required for assessing </t>
    </r>
    <r>
      <rPr>
        <u/>
        <sz val="11"/>
        <color theme="1"/>
        <rFont val="Calibri"/>
        <family val="2"/>
        <scheme val="minor"/>
      </rPr>
      <t>rootability.</t>
    </r>
  </si>
  <si>
    <t xml:space="preserve">COARSE FRAGMENTS (m3/m3) </t>
  </si>
  <si>
    <t>R horizon designation  [IF CF &gt; 90% THEN LAYER = R (bed)ROCK]</t>
  </si>
  <si>
    <t>VMC at PWP (pF4.2) (m3/m3)</t>
  </si>
  <si>
    <t>VMC at FC -s (pF2.0) (m3/m3)</t>
  </si>
  <si>
    <t>VMC at FC -l (pF2.3) (m3/m3)</t>
  </si>
  <si>
    <t>VMC at FC -c (pF2.5) (m3/m3)</t>
  </si>
  <si>
    <t>AWC -s (fine earth) (m3/m3)</t>
  </si>
  <si>
    <t>AWC -l (fine earth) (m3/m3)</t>
  </si>
  <si>
    <t>AWC -c (fine earth) (m3/ m3)</t>
  </si>
  <si>
    <t>CLAY (w%)</t>
  </si>
  <si>
    <t>(eCEC soil (sum of exch acidity &amp; exch bases) (cmolc/kg))</t>
  </si>
  <si>
    <t>METADATA STRING WITH ERZD (limiting factor)</t>
  </si>
  <si>
    <t>METADATA STRING WITH SCORE (factor scores)</t>
  </si>
  <si>
    <t>ERZD (cm) validate</t>
  </si>
  <si>
    <t>DEPTH OF OBSERVED ROOTS (and of interpreted rootable depth) (cm)</t>
  </si>
  <si>
    <t>x</t>
  </si>
  <si>
    <t>Extractable elements (Fe, AL, Mn, Zn, Cu, B, S, ?) (ppm)</t>
  </si>
  <si>
    <t xml:space="preserve">Consider to use áll observed data; not limited to the symmetric 99% quantile range. </t>
  </si>
  <si>
    <t>Note: merge AfSP and AfSS for similar properties, prior to produce spline over sd's, and predict over 6 sd's.</t>
  </si>
  <si>
    <t xml:space="preserve">Consider options to improve prediction of Depth to Bedrock (cm). Artifacts in this are acceptable. </t>
  </si>
  <si>
    <t>Thanks.</t>
  </si>
  <si>
    <t>AfSP method query</t>
  </si>
  <si>
    <t>Effective rooting score (%) plus associated propertry values</t>
  </si>
  <si>
    <t>1st property</t>
  </si>
  <si>
    <t>2nd</t>
  </si>
  <si>
    <t>3rd</t>
  </si>
  <si>
    <t>RtblDpth (classes)</t>
  </si>
  <si>
    <t>Drain (classes)</t>
  </si>
  <si>
    <t>PWP (fine earth), aggr over ERZD and over top 30cm (m3/m3)</t>
  </si>
  <si>
    <t>AWC -s (fine earth), aggr over ERZD and over top 30cm (m3/m3)</t>
  </si>
  <si>
    <t>AWC -l (fine earth), aggr over ERZD and over top 30cm (m3/m3)</t>
  </si>
  <si>
    <t>AWC -c (fine earth), aggr over ERZD and over top 30cm (m3/m3)</t>
  </si>
  <si>
    <t>USDA texture class, aggr over ERZD and over top 30cm</t>
  </si>
  <si>
    <t>COARSE FRAGMENTS, aggr over ERZD and over top 30cm (m3/m3)</t>
  </si>
  <si>
    <t>Field slope (%) derived from finest DEM, if possible</t>
  </si>
  <si>
    <t>AW surface storage (m3/m2)</t>
  </si>
  <si>
    <t>Aggregate grids from 250m to 1km</t>
  </si>
  <si>
    <t>&gt; 10</t>
  </si>
  <si>
    <r>
      <t>BlkDens - (1.6-(0.003</t>
    </r>
    <r>
      <rPr>
        <b/>
        <sz val="11"/>
        <color rgb="FFFF0000"/>
        <rFont val="Calibri"/>
        <family val="2"/>
        <scheme val="minor"/>
      </rPr>
      <t>5</t>
    </r>
    <r>
      <rPr>
        <b/>
        <sz val="11"/>
        <color theme="1"/>
        <rFont val="Calibri"/>
        <family val="2"/>
        <scheme val="minor"/>
      </rPr>
      <t>*Clay))</t>
    </r>
  </si>
  <si>
    <t xml:space="preserve">V -very poor        </t>
  </si>
  <si>
    <t xml:space="preserve">P -poor             </t>
  </si>
  <si>
    <t xml:space="preserve">I -imperfect         </t>
  </si>
  <si>
    <t xml:space="preserve">M -moderate         </t>
  </si>
  <si>
    <t xml:space="preserve">W -well               </t>
  </si>
  <si>
    <t xml:space="preserve">S -somewhat excessive  </t>
  </si>
  <si>
    <t xml:space="preserve">E -excessive        </t>
  </si>
  <si>
    <t>new (cm)</t>
  </si>
  <si>
    <t>&gt; 0.3</t>
  </si>
  <si>
    <t>Ordinal</t>
  </si>
  <si>
    <t>Interpolate.</t>
  </si>
  <si>
    <t>&lt;&gt;EL04 (exclude EL04)</t>
  </si>
  <si>
    <t>Refit model Na+ (use evaporation)</t>
  </si>
  <si>
    <r>
      <rPr>
        <b/>
        <sz val="11"/>
        <rFont val="Calibri"/>
        <family val="2"/>
        <scheme val="minor"/>
      </rPr>
      <t xml:space="preserve">Rework BD-CrsFr 1797. </t>
    </r>
    <r>
      <rPr>
        <b/>
        <sz val="11"/>
        <color theme="1"/>
        <rFont val="Calibri"/>
        <family val="2"/>
        <scheme val="minor"/>
      </rPr>
      <t>BD01;BD01.1;BD02.3</t>
    </r>
  </si>
  <si>
    <t>Redo</t>
  </si>
  <si>
    <t>ORDINAL DRAINAGE CLASS (including intermediate classes)</t>
  </si>
  <si>
    <t>SCORE ROOTABILITY (0/1 = &lt;20%/&gt;20%)</t>
  </si>
  <si>
    <t>DEPTH TO LAYER/VOXEL WHERE (above) SCORE = 0 or &lt;20% (cm)</t>
  </si>
  <si>
    <t>DEPTH TO (BED)ROCK (cm). [IF CF &gt;= 90% THEN LAYER = R (bed)ROCK]</t>
  </si>
  <si>
    <t>NEWEST</t>
  </si>
  <si>
    <t>Y = 2.5 x2 + 22.5x - 15</t>
  </si>
  <si>
    <t>Excluded</t>
  </si>
  <si>
    <t>Process ERZD decision rules, scripted in R by Maria, into Gsif/R and apply.</t>
  </si>
  <si>
    <t>Johan</t>
  </si>
  <si>
    <t>Maria will apply AWC and ERZD rules to the soil databases.</t>
  </si>
  <si>
    <t>Pls share the AfSS data/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</si>
</sst>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0"/>
      <color rgb="FF1F497D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C000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ont="1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0" xfId="0" quotePrefix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Fill="1" applyBorder="1" applyAlignment="1">
      <alignment horizontal="right"/>
    </xf>
    <xf numFmtId="0" fontId="0" fillId="0" borderId="0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" xfId="0" applyBorder="1"/>
    <xf numFmtId="0" fontId="0" fillId="0" borderId="8" xfId="0" applyBorder="1"/>
    <xf numFmtId="1" fontId="0" fillId="0" borderId="0" xfId="0" applyNumberFormat="1" applyBorder="1"/>
    <xf numFmtId="1" fontId="0" fillId="0" borderId="1" xfId="0" applyNumberFormat="1" applyBorder="1"/>
    <xf numFmtId="2" fontId="0" fillId="0" borderId="0" xfId="0" applyNumberFormat="1" applyBorder="1"/>
    <xf numFmtId="2" fontId="0" fillId="0" borderId="1" xfId="0" applyNumberFormat="1" applyBorder="1"/>
    <xf numFmtId="0" fontId="0" fillId="0" borderId="10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left"/>
    </xf>
    <xf numFmtId="0" fontId="2" fillId="0" borderId="0" xfId="0" applyFont="1"/>
    <xf numFmtId="0" fontId="0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0" xfId="0" applyFill="1" applyBorder="1"/>
    <xf numFmtId="1" fontId="0" fillId="0" borderId="13" xfId="0" applyNumberFormat="1" applyBorder="1"/>
    <xf numFmtId="0" fontId="0" fillId="0" borderId="0" xfId="0" applyBorder="1" applyAlignment="1">
      <alignment horizontal="left"/>
    </xf>
    <xf numFmtId="0" fontId="1" fillId="0" borderId="3" xfId="0" applyFont="1" applyBorder="1" applyAlignment="1">
      <alignment horizontal="left"/>
    </xf>
    <xf numFmtId="2" fontId="0" fillId="0" borderId="6" xfId="0" applyNumberFormat="1" applyFill="1" applyBorder="1" applyAlignment="1">
      <alignment horizontal="right"/>
    </xf>
    <xf numFmtId="2" fontId="0" fillId="0" borderId="8" xfId="0" applyNumberFormat="1" applyFill="1" applyBorder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5" xfId="0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2" fontId="0" fillId="0" borderId="0" xfId="0" applyNumberFormat="1" applyFill="1" applyBorder="1"/>
    <xf numFmtId="1" fontId="0" fillId="0" borderId="0" xfId="0" applyNumberFormat="1" applyFill="1" applyBorder="1"/>
    <xf numFmtId="0" fontId="0" fillId="0" borderId="6" xfId="0" applyFill="1" applyBorder="1"/>
    <xf numFmtId="0" fontId="0" fillId="0" borderId="0" xfId="0" applyFill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2" fontId="3" fillId="0" borderId="11" xfId="0" applyNumberFormat="1" applyFont="1" applyFill="1" applyBorder="1" applyAlignment="1">
      <alignment horizontal="right"/>
    </xf>
    <xf numFmtId="2" fontId="3" fillId="0" borderId="10" xfId="0" applyNumberFormat="1" applyFont="1" applyBorder="1"/>
    <xf numFmtId="1" fontId="3" fillId="0" borderId="10" xfId="0" applyNumberFormat="1" applyFont="1" applyBorder="1"/>
    <xf numFmtId="0" fontId="3" fillId="0" borderId="11" xfId="0" applyFont="1" applyBorder="1"/>
    <xf numFmtId="0" fontId="3" fillId="0" borderId="0" xfId="0" applyFont="1" applyAlignment="1">
      <alignment horizontal="right"/>
    </xf>
    <xf numFmtId="2" fontId="3" fillId="0" borderId="6" xfId="0" applyNumberFormat="1" applyFont="1" applyFill="1" applyBorder="1" applyAlignment="1">
      <alignment horizontal="right"/>
    </xf>
    <xf numFmtId="2" fontId="3" fillId="0" borderId="0" xfId="0" applyNumberFormat="1" applyFont="1" applyBorder="1"/>
    <xf numFmtId="1" fontId="3" fillId="0" borderId="0" xfId="0" applyNumberFormat="1" applyFont="1" applyBorder="1"/>
    <xf numFmtId="0" fontId="3" fillId="0" borderId="6" xfId="0" applyFont="1" applyBorder="1"/>
    <xf numFmtId="0" fontId="3" fillId="0" borderId="12" xfId="0" applyFont="1" applyBorder="1" applyAlignment="1">
      <alignment horizontal="left"/>
    </xf>
    <xf numFmtId="0" fontId="3" fillId="0" borderId="10" xfId="0" applyFont="1" applyBorder="1"/>
    <xf numFmtId="0" fontId="3" fillId="0" borderId="15" xfId="0" applyFont="1" applyBorder="1" applyAlignment="1">
      <alignment horizontal="left"/>
    </xf>
    <xf numFmtId="0" fontId="3" fillId="0" borderId="0" xfId="0" applyFont="1" applyBorder="1"/>
    <xf numFmtId="0" fontId="3" fillId="0" borderId="0" xfId="0" quotePrefix="1" applyFont="1"/>
    <xf numFmtId="0" fontId="3" fillId="0" borderId="0" xfId="0" applyFont="1" applyFill="1" applyBorder="1"/>
    <xf numFmtId="0" fontId="3" fillId="0" borderId="13" xfId="0" applyFont="1" applyBorder="1"/>
    <xf numFmtId="0" fontId="3" fillId="2" borderId="0" xfId="0" applyFont="1" applyFill="1" applyBorder="1" applyAlignment="1">
      <alignment horizontal="right"/>
    </xf>
    <xf numFmtId="0" fontId="3" fillId="2" borderId="0" xfId="0" applyFont="1" applyFill="1"/>
    <xf numFmtId="2" fontId="3" fillId="0" borderId="0" xfId="0" applyNumberFormat="1" applyFont="1"/>
    <xf numFmtId="2" fontId="0" fillId="0" borderId="0" xfId="0" applyNumberFormat="1"/>
    <xf numFmtId="0" fontId="0" fillId="2" borderId="0" xfId="0" applyFont="1" applyFill="1" applyBorder="1" applyAlignment="1">
      <alignment horizontal="right"/>
    </xf>
    <xf numFmtId="0" fontId="0" fillId="0" borderId="0" xfId="0" applyAlignment="1">
      <alignment vertical="center"/>
    </xf>
    <xf numFmtId="0" fontId="3" fillId="3" borderId="0" xfId="0" applyFont="1" applyFill="1" applyBorder="1" applyAlignment="1">
      <alignment horizontal="right"/>
    </xf>
    <xf numFmtId="0" fontId="5" fillId="3" borderId="0" xfId="0" applyFont="1" applyFill="1" applyAlignment="1">
      <alignment vertical="center"/>
    </xf>
    <xf numFmtId="0" fontId="3" fillId="3" borderId="0" xfId="0" applyFont="1" applyFill="1" applyAlignment="1">
      <alignment horizontal="left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Fill="1" applyAlignment="1">
      <alignment vertical="center"/>
    </xf>
    <xf numFmtId="0" fontId="5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C67"/>
  <sheetViews>
    <sheetView tabSelected="1" topLeftCell="D1" workbookViewId="0">
      <selection activeCell="D1" sqref="D1"/>
    </sheetView>
  </sheetViews>
  <sheetFormatPr defaultRowHeight="15" x14ac:dyDescent="0.25"/>
  <cols>
    <col min="1" max="1" width="15.85546875" customWidth="1"/>
    <col min="2" max="2" width="7.85546875" style="2" customWidth="1"/>
    <col min="3" max="3" width="5.7109375" style="2" customWidth="1"/>
    <col min="4" max="4" width="5.42578125" style="2" customWidth="1"/>
    <col min="5" max="5" width="8.85546875" style="2" customWidth="1"/>
    <col min="6" max="6" width="22.7109375" style="2" customWidth="1"/>
    <col min="7" max="7" width="17.85546875" customWidth="1"/>
    <col min="8" max="8" width="22.5703125" customWidth="1"/>
    <col min="9" max="9" width="25.28515625" customWidth="1"/>
    <col min="10" max="10" width="9.28515625" customWidth="1"/>
    <col min="11" max="12" width="8.85546875" style="1"/>
    <col min="13" max="13" width="6" style="1" customWidth="1"/>
    <col min="14" max="14" width="8.7109375" style="3" customWidth="1"/>
    <col min="15" max="19" width="8.85546875" style="1"/>
    <col min="20" max="20" width="8.85546875" style="2"/>
    <col min="24" max="24" width="12.42578125" customWidth="1"/>
    <col min="25" max="25" width="16.28515625" customWidth="1"/>
    <col min="26" max="26" width="15.5703125" customWidth="1"/>
  </cols>
  <sheetData>
    <row r="1" spans="1:29" thickBot="1" x14ac:dyDescent="0.35">
      <c r="E1" s="2">
        <v>74961</v>
      </c>
      <c r="K1" s="19" t="s">
        <v>208</v>
      </c>
      <c r="U1" t="s">
        <v>70</v>
      </c>
      <c r="AB1" t="s">
        <v>73</v>
      </c>
    </row>
    <row r="2" spans="1:29" thickBot="1" x14ac:dyDescent="0.35">
      <c r="A2" s="14" t="s">
        <v>104</v>
      </c>
      <c r="B2" s="31" t="s">
        <v>83</v>
      </c>
      <c r="C2" s="31" t="s">
        <v>82</v>
      </c>
      <c r="D2" s="31" t="s">
        <v>81</v>
      </c>
      <c r="E2" s="31" t="s">
        <v>121</v>
      </c>
      <c r="F2" s="31" t="s">
        <v>207</v>
      </c>
      <c r="G2" s="15" t="s">
        <v>100</v>
      </c>
      <c r="H2" s="15" t="s">
        <v>101</v>
      </c>
      <c r="I2" s="15" t="s">
        <v>101</v>
      </c>
      <c r="J2" s="15" t="s">
        <v>105</v>
      </c>
      <c r="K2" s="34">
        <v>100</v>
      </c>
      <c r="L2" s="30">
        <v>100</v>
      </c>
      <c r="M2" s="30"/>
      <c r="N2" s="33">
        <v>0</v>
      </c>
      <c r="O2" s="30">
        <v>0</v>
      </c>
      <c r="P2" s="30" t="s">
        <v>67</v>
      </c>
      <c r="Q2" s="30" t="s">
        <v>209</v>
      </c>
      <c r="R2" s="30" t="s">
        <v>210</v>
      </c>
      <c r="S2" s="30" t="s">
        <v>211</v>
      </c>
      <c r="T2" s="41" t="s">
        <v>74</v>
      </c>
      <c r="U2" s="11" t="s">
        <v>68</v>
      </c>
      <c r="V2" s="11" t="s">
        <v>69</v>
      </c>
      <c r="W2" s="19" t="s">
        <v>71</v>
      </c>
      <c r="X2" s="20" t="s">
        <v>72</v>
      </c>
      <c r="Y2" s="28" t="s">
        <v>79</v>
      </c>
      <c r="Z2" s="29">
        <v>20</v>
      </c>
      <c r="AB2" s="18"/>
      <c r="AC2" s="17" t="s">
        <v>75</v>
      </c>
    </row>
    <row r="3" spans="1:29" s="53" customFormat="1" ht="14.45" x14ac:dyDescent="0.3">
      <c r="A3" s="53" t="s">
        <v>76</v>
      </c>
      <c r="B3" s="52">
        <v>1</v>
      </c>
      <c r="C3" s="52"/>
      <c r="D3" s="52">
        <v>1</v>
      </c>
      <c r="E3" s="52">
        <v>40177</v>
      </c>
      <c r="F3" s="52"/>
      <c r="G3" s="53" t="s">
        <v>26</v>
      </c>
      <c r="H3" s="53" t="s">
        <v>122</v>
      </c>
      <c r="I3" s="53" t="s">
        <v>0</v>
      </c>
      <c r="J3" s="53" t="s">
        <v>50</v>
      </c>
      <c r="K3" s="54">
        <v>0</v>
      </c>
      <c r="L3" s="55">
        <v>80</v>
      </c>
      <c r="M3" s="55"/>
      <c r="N3" s="55">
        <v>90</v>
      </c>
      <c r="O3" s="55">
        <v>100</v>
      </c>
      <c r="P3" s="55">
        <v>-1</v>
      </c>
      <c r="Q3" s="56">
        <v>5</v>
      </c>
      <c r="R3" s="57"/>
      <c r="S3" s="57"/>
      <c r="T3" s="58">
        <f>Q3</f>
        <v>5</v>
      </c>
      <c r="U3" s="59">
        <f t="shared" ref="U3:U39" si="0">(L$2-N$2)/(L3-N3)</f>
        <v>-10</v>
      </c>
      <c r="V3" s="59">
        <f t="shared" ref="V3:V39" si="1">L$2-(U3*L3)</f>
        <v>900</v>
      </c>
      <c r="W3" s="60">
        <f t="shared" ref="W3:W39" si="2">U3*T3+V3</f>
        <v>850</v>
      </c>
      <c r="X3" s="60">
        <f t="shared" ref="X3:X39" si="3">IF(P3=-1,IF(T3&lt;L3,100,IF(T3&gt;N3,0,W3)),IF(P3=1,IF(T3&gt;L3,100,IF(T3&lt;N3,0,W3))))</f>
        <v>100</v>
      </c>
      <c r="Y3" s="61">
        <f t="shared" ref="Y3:Y41" si="4">Z$2</f>
        <v>20</v>
      </c>
      <c r="AB3" s="62" t="str">
        <f t="shared" ref="AB3:AB39" si="5">IF(P3=-1,"&gt;","&lt;" )</f>
        <v>&gt;</v>
      </c>
      <c r="AC3" s="53">
        <f t="shared" ref="AC3:AC39" si="6">(Y3-V3)/U3</f>
        <v>88</v>
      </c>
    </row>
    <row r="4" spans="1:29" s="53" customFormat="1" ht="14.45" x14ac:dyDescent="0.3">
      <c r="A4" s="53" t="s">
        <v>76</v>
      </c>
      <c r="B4" s="52">
        <v>1</v>
      </c>
      <c r="C4" s="52"/>
      <c r="D4" s="52">
        <v>1</v>
      </c>
      <c r="E4" s="52">
        <v>43672</v>
      </c>
      <c r="F4" s="52"/>
      <c r="G4" s="53" t="s">
        <v>27</v>
      </c>
      <c r="H4" s="53" t="s">
        <v>124</v>
      </c>
      <c r="I4" s="53" t="s">
        <v>123</v>
      </c>
      <c r="J4" s="53" t="s">
        <v>50</v>
      </c>
      <c r="K4" s="54">
        <v>100</v>
      </c>
      <c r="L4" s="80">
        <v>40</v>
      </c>
      <c r="M4" s="55"/>
      <c r="N4" s="80">
        <v>27.5</v>
      </c>
      <c r="O4" s="55">
        <v>0</v>
      </c>
      <c r="P4" s="55">
        <v>1</v>
      </c>
      <c r="Q4" s="54">
        <v>5</v>
      </c>
      <c r="R4" s="55"/>
      <c r="S4" s="55"/>
      <c r="T4" s="63">
        <f>Q4</f>
        <v>5</v>
      </c>
      <c r="U4" s="64">
        <f t="shared" si="0"/>
        <v>8</v>
      </c>
      <c r="V4" s="64">
        <f t="shared" si="1"/>
        <v>-220</v>
      </c>
      <c r="W4" s="65">
        <f t="shared" si="2"/>
        <v>-180</v>
      </c>
      <c r="X4" s="65">
        <f t="shared" si="3"/>
        <v>0</v>
      </c>
      <c r="Y4" s="66">
        <f t="shared" si="4"/>
        <v>20</v>
      </c>
      <c r="AB4" s="62" t="str">
        <f t="shared" si="5"/>
        <v>&lt;</v>
      </c>
      <c r="AC4" s="53">
        <f t="shared" si="6"/>
        <v>30</v>
      </c>
    </row>
    <row r="5" spans="1:29" ht="14.45" x14ac:dyDescent="0.3">
      <c r="A5" t="s">
        <v>76</v>
      </c>
      <c r="B5" s="2">
        <v>0</v>
      </c>
      <c r="D5" s="2">
        <v>1</v>
      </c>
      <c r="E5" s="2">
        <v>722</v>
      </c>
      <c r="G5" t="s">
        <v>27</v>
      </c>
      <c r="H5" t="s">
        <v>124</v>
      </c>
      <c r="I5" t="s">
        <v>80</v>
      </c>
      <c r="J5" t="s">
        <v>50</v>
      </c>
      <c r="K5" s="6">
        <v>100</v>
      </c>
      <c r="L5" s="7">
        <v>50</v>
      </c>
      <c r="M5" s="7"/>
      <c r="N5" s="8">
        <v>0</v>
      </c>
      <c r="O5" s="7"/>
      <c r="P5" s="7">
        <v>1</v>
      </c>
      <c r="Q5" s="6">
        <v>5</v>
      </c>
      <c r="R5" s="7"/>
      <c r="S5" s="7"/>
      <c r="T5" s="42">
        <f t="shared" ref="T5:T40" si="7">Q5</f>
        <v>5</v>
      </c>
      <c r="U5" s="26">
        <f>(L$2-N$2)/(L5-N5)</f>
        <v>2</v>
      </c>
      <c r="V5" s="26">
        <f>L$2-(U5*L5)</f>
        <v>0</v>
      </c>
      <c r="W5" s="24">
        <f t="shared" ref="W5" si="8">U5*T5+V5</f>
        <v>10</v>
      </c>
      <c r="X5" s="24">
        <f t="shared" ref="X5" si="9">IF(P5=-1,IF(T5&lt;L5,100,IF(T5&gt;N5,0,W5)),IF(P5=1,IF(T5&gt;L5,100,IF(T5&lt;N5,0,W5))))</f>
        <v>10</v>
      </c>
      <c r="Y5" s="21">
        <f t="shared" si="4"/>
        <v>20</v>
      </c>
      <c r="AB5" s="1" t="str">
        <f t="shared" ref="AB5" si="10">IF(P5=-1,"&gt;","&lt;" )</f>
        <v>&lt;</v>
      </c>
      <c r="AC5">
        <f t="shared" ref="AC5" si="11">(Y5-V5)/U5</f>
        <v>10</v>
      </c>
    </row>
    <row r="6" spans="1:29" ht="14.45" x14ac:dyDescent="0.3">
      <c r="A6" t="s">
        <v>76</v>
      </c>
      <c r="B6" s="2">
        <v>0</v>
      </c>
      <c r="D6" s="2">
        <v>1</v>
      </c>
      <c r="E6" s="2">
        <v>587</v>
      </c>
      <c r="G6" t="s">
        <v>27</v>
      </c>
      <c r="H6" t="s">
        <v>125</v>
      </c>
      <c r="I6" t="s">
        <v>1</v>
      </c>
      <c r="J6" t="s">
        <v>50</v>
      </c>
      <c r="K6" s="6">
        <v>100</v>
      </c>
      <c r="L6" s="7">
        <v>50</v>
      </c>
      <c r="M6" s="7"/>
      <c r="N6" s="8">
        <v>0</v>
      </c>
      <c r="O6" s="7"/>
      <c r="P6" s="7">
        <v>1</v>
      </c>
      <c r="Q6" s="6">
        <v>5</v>
      </c>
      <c r="R6" s="7"/>
      <c r="S6" s="7"/>
      <c r="T6" s="42">
        <f t="shared" si="7"/>
        <v>5</v>
      </c>
      <c r="U6" s="26">
        <f t="shared" si="0"/>
        <v>2</v>
      </c>
      <c r="V6" s="26">
        <f t="shared" si="1"/>
        <v>0</v>
      </c>
      <c r="W6" s="24">
        <f t="shared" si="2"/>
        <v>10</v>
      </c>
      <c r="X6" s="24">
        <f t="shared" si="3"/>
        <v>10</v>
      </c>
      <c r="Y6" s="21">
        <f t="shared" si="4"/>
        <v>20</v>
      </c>
      <c r="AB6" s="1" t="str">
        <f t="shared" si="5"/>
        <v>&lt;</v>
      </c>
      <c r="AC6">
        <f t="shared" si="6"/>
        <v>10</v>
      </c>
    </row>
    <row r="7" spans="1:29" ht="14.45" x14ac:dyDescent="0.3">
      <c r="A7" t="s">
        <v>76</v>
      </c>
      <c r="B7" s="2">
        <v>0</v>
      </c>
      <c r="D7" s="2">
        <v>1</v>
      </c>
      <c r="E7" s="2">
        <v>53</v>
      </c>
      <c r="G7" t="s">
        <v>27</v>
      </c>
      <c r="H7" t="s">
        <v>125</v>
      </c>
      <c r="I7" t="s">
        <v>77</v>
      </c>
      <c r="J7" t="s">
        <v>50</v>
      </c>
      <c r="K7" s="6">
        <v>100</v>
      </c>
      <c r="L7" s="7">
        <v>47.5</v>
      </c>
      <c r="M7" s="7"/>
      <c r="N7" s="8">
        <v>0</v>
      </c>
      <c r="O7" s="7"/>
      <c r="P7" s="7">
        <v>1</v>
      </c>
      <c r="Q7" s="6">
        <v>5</v>
      </c>
      <c r="R7" s="7"/>
      <c r="S7" s="7"/>
      <c r="T7" s="42">
        <f t="shared" si="7"/>
        <v>5</v>
      </c>
      <c r="U7" s="26">
        <f t="shared" ref="U7:U8" si="12">(L$2-N$2)/(L7-N7)</f>
        <v>2.1052631578947367</v>
      </c>
      <c r="V7" s="26">
        <f t="shared" ref="V7:V8" si="13">L$2-(U7*L7)</f>
        <v>0</v>
      </c>
      <c r="W7" s="24">
        <f t="shared" ref="W7:W8" si="14">U7*T7+V7</f>
        <v>10.526315789473683</v>
      </c>
      <c r="X7" s="24">
        <f t="shared" ref="X7:X8" si="15">IF(P7=-1,IF(T7&lt;L7,100,IF(T7&gt;N7,0,W7)),IF(P7=1,IF(T7&gt;L7,100,IF(T7&lt;N7,0,W7))))</f>
        <v>10.526315789473683</v>
      </c>
      <c r="Y7" s="21">
        <f t="shared" si="4"/>
        <v>20</v>
      </c>
      <c r="AB7" s="1" t="str">
        <f t="shared" ref="AB7:AB8" si="16">IF(P7=-1,"&gt;","&lt;" )</f>
        <v>&lt;</v>
      </c>
      <c r="AC7" s="77">
        <f t="shared" ref="AC7:AC8" si="17">(Y7-V7)/U7</f>
        <v>9.5</v>
      </c>
    </row>
    <row r="8" spans="1:29" ht="14.45" x14ac:dyDescent="0.3">
      <c r="A8" t="s">
        <v>76</v>
      </c>
      <c r="B8" s="2">
        <v>0</v>
      </c>
      <c r="D8" s="2">
        <v>1</v>
      </c>
      <c r="E8" s="2">
        <v>504</v>
      </c>
      <c r="G8" t="s">
        <v>27</v>
      </c>
      <c r="H8" t="s">
        <v>125</v>
      </c>
      <c r="I8" t="s">
        <v>78</v>
      </c>
      <c r="J8" t="s">
        <v>50</v>
      </c>
      <c r="K8" s="6">
        <v>100</v>
      </c>
      <c r="L8" s="7">
        <v>45</v>
      </c>
      <c r="M8" s="7"/>
      <c r="N8" s="8">
        <v>0</v>
      </c>
      <c r="O8" s="7"/>
      <c r="P8" s="7">
        <v>1</v>
      </c>
      <c r="Q8" s="6">
        <v>5</v>
      </c>
      <c r="R8" s="7"/>
      <c r="S8" s="7"/>
      <c r="T8" s="42">
        <f t="shared" si="7"/>
        <v>5</v>
      </c>
      <c r="U8" s="26">
        <f t="shared" si="12"/>
        <v>2.2222222222222223</v>
      </c>
      <c r="V8" s="26">
        <f t="shared" si="13"/>
        <v>0</v>
      </c>
      <c r="W8" s="24">
        <f t="shared" si="14"/>
        <v>11.111111111111111</v>
      </c>
      <c r="X8" s="24">
        <f t="shared" si="15"/>
        <v>11.111111111111111</v>
      </c>
      <c r="Y8" s="21">
        <f t="shared" si="4"/>
        <v>20</v>
      </c>
      <c r="AB8" s="1" t="str">
        <f t="shared" si="16"/>
        <v>&lt;</v>
      </c>
      <c r="AC8">
        <f t="shared" si="17"/>
        <v>9</v>
      </c>
    </row>
    <row r="9" spans="1:29" s="53" customFormat="1" ht="14.45" x14ac:dyDescent="0.3">
      <c r="A9" s="53" t="s">
        <v>76</v>
      </c>
      <c r="B9" s="52">
        <v>1</v>
      </c>
      <c r="C9" s="52"/>
      <c r="D9" s="52">
        <v>1</v>
      </c>
      <c r="E9" s="52">
        <v>9597</v>
      </c>
      <c r="F9" s="82" t="s">
        <v>238</v>
      </c>
      <c r="G9" s="53" t="s">
        <v>27</v>
      </c>
      <c r="H9" s="53" t="s">
        <v>126</v>
      </c>
      <c r="I9" s="75" t="s">
        <v>224</v>
      </c>
      <c r="J9" s="53" t="s">
        <v>51</v>
      </c>
      <c r="K9" s="54" t="s">
        <v>63</v>
      </c>
      <c r="L9" s="55">
        <v>0</v>
      </c>
      <c r="M9" s="55"/>
      <c r="N9" s="80">
        <v>0.3</v>
      </c>
      <c r="O9" s="74" t="s">
        <v>233</v>
      </c>
      <c r="P9" s="55">
        <v>-1</v>
      </c>
      <c r="Q9" s="54">
        <v>1.26</v>
      </c>
      <c r="R9" s="55">
        <v>100</v>
      </c>
      <c r="S9" s="55"/>
      <c r="T9" s="63">
        <f>Q9-(1.6-(0.0035*R9))</f>
        <v>1.0000000000000009E-2</v>
      </c>
      <c r="U9" s="64">
        <f>(L$2-N$2)/(L9-N9)</f>
        <v>-333.33333333333337</v>
      </c>
      <c r="V9" s="64">
        <f>L$2-(U9*L9)</f>
        <v>100</v>
      </c>
      <c r="W9" s="65">
        <f>U9*T9+V9</f>
        <v>96.666666666666657</v>
      </c>
      <c r="X9" s="65">
        <f>IF(P9=-1,IF(T9&lt;L9,100,IF(T9&gt;N9,0,W9)),IF(P9=1,IF(T9&gt;L9,100,IF(T9&lt;N9,0,W9))))</f>
        <v>96.666666666666657</v>
      </c>
      <c r="Y9" s="66">
        <f t="shared" si="4"/>
        <v>20</v>
      </c>
      <c r="Z9" s="62"/>
      <c r="AB9" s="62" t="str">
        <f>IF(P9=-1,"&gt;","&lt;" )</f>
        <v>&gt;</v>
      </c>
      <c r="AC9" s="76">
        <f>(Y9-V9)/U9</f>
        <v>0.23999999999999996</v>
      </c>
    </row>
    <row r="10" spans="1:29" ht="14.45" x14ac:dyDescent="0.3">
      <c r="A10" t="s">
        <v>76</v>
      </c>
      <c r="B10" s="2">
        <v>0</v>
      </c>
      <c r="D10" s="2">
        <v>1</v>
      </c>
      <c r="F10" s="2" t="s">
        <v>84</v>
      </c>
      <c r="G10" t="s">
        <v>27</v>
      </c>
      <c r="H10" t="s">
        <v>126</v>
      </c>
      <c r="I10" t="s">
        <v>115</v>
      </c>
      <c r="J10" t="s">
        <v>51</v>
      </c>
      <c r="K10" s="6" t="s">
        <v>63</v>
      </c>
      <c r="L10" s="7">
        <v>0</v>
      </c>
      <c r="M10" s="7"/>
      <c r="N10" s="8">
        <v>0.4</v>
      </c>
      <c r="O10" s="7" t="s">
        <v>14</v>
      </c>
      <c r="P10" s="7">
        <v>-1</v>
      </c>
      <c r="Q10" s="6">
        <v>5</v>
      </c>
      <c r="R10" s="7">
        <v>30</v>
      </c>
      <c r="S10" s="7"/>
      <c r="T10" s="42">
        <f t="shared" ref="T10:T11" si="18">Q10-(1.6-(0.003*R10))</f>
        <v>3.49</v>
      </c>
      <c r="U10" s="26">
        <f>(L$2-N$2)/(L10-N10)</f>
        <v>-250</v>
      </c>
      <c r="V10" s="26">
        <f>L$2-(U10*L10)</f>
        <v>100</v>
      </c>
      <c r="W10" s="24">
        <f>U10*T10+V10</f>
        <v>-772.5</v>
      </c>
      <c r="X10" s="24">
        <f>IF(P10=-1,IF(T10&lt;L10,100,IF(T10&gt;N10,0,W10)),IF(P10=1,IF(T10&gt;L10,100,IF(T10&lt;N10,0,W10))))</f>
        <v>0</v>
      </c>
      <c r="Y10" s="21">
        <f t="shared" si="4"/>
        <v>20</v>
      </c>
      <c r="Z10" s="1"/>
      <c r="AB10" s="1" t="str">
        <f>IF(P10=-1,"&gt;","&lt;" )</f>
        <v>&gt;</v>
      </c>
      <c r="AC10">
        <f>(Y10-V10)/U10</f>
        <v>0.32</v>
      </c>
    </row>
    <row r="11" spans="1:29" ht="14.45" x14ac:dyDescent="0.3">
      <c r="A11" t="s">
        <v>76</v>
      </c>
      <c r="B11" s="2">
        <v>0</v>
      </c>
      <c r="D11" s="2">
        <v>1</v>
      </c>
      <c r="F11" s="2" t="s">
        <v>86</v>
      </c>
      <c r="G11" t="s">
        <v>27</v>
      </c>
      <c r="H11" t="s">
        <v>126</v>
      </c>
      <c r="I11" t="s">
        <v>114</v>
      </c>
      <c r="J11" t="s">
        <v>51</v>
      </c>
      <c r="K11" s="6" t="s">
        <v>63</v>
      </c>
      <c r="L11" s="7">
        <v>0</v>
      </c>
      <c r="M11" s="7"/>
      <c r="N11" s="8">
        <v>0.6</v>
      </c>
      <c r="O11" s="7" t="s">
        <v>85</v>
      </c>
      <c r="P11" s="7">
        <v>-1</v>
      </c>
      <c r="Q11" s="6">
        <v>5</v>
      </c>
      <c r="R11" s="7">
        <v>30</v>
      </c>
      <c r="S11" s="7"/>
      <c r="T11" s="42">
        <f t="shared" si="18"/>
        <v>3.49</v>
      </c>
      <c r="U11" s="26">
        <f t="shared" ref="U11:U13" si="19">(L$2-N$2)/(L11-N11)</f>
        <v>-166.66666666666669</v>
      </c>
      <c r="V11" s="26">
        <f t="shared" ref="V11:V13" si="20">L$2-(U11*L11)</f>
        <v>100</v>
      </c>
      <c r="W11" s="24">
        <f t="shared" ref="W11:W13" si="21">U11*T11+V11</f>
        <v>-481.66666666666674</v>
      </c>
      <c r="X11" s="24">
        <f t="shared" ref="X11:X13" si="22">IF(P11=-1,IF(T11&lt;L11,100,IF(T11&gt;N11,0,W11)),IF(P11=1,IF(T11&gt;L11,100,IF(T11&lt;N11,0,W11))))</f>
        <v>0</v>
      </c>
      <c r="Y11" s="21">
        <f t="shared" si="4"/>
        <v>20</v>
      </c>
      <c r="Z11" s="1"/>
      <c r="AB11" s="1" t="str">
        <f t="shared" ref="AB11:AB13" si="23">IF(P11=-1,"&gt;","&lt;" )</f>
        <v>&gt;</v>
      </c>
      <c r="AC11">
        <f t="shared" ref="AC11:AC13" si="24">(Y11-V11)/U11</f>
        <v>0.47999999999999993</v>
      </c>
    </row>
    <row r="12" spans="1:29" s="44" customFormat="1" ht="14.45" x14ac:dyDescent="0.3">
      <c r="A12" s="44" t="s">
        <v>76</v>
      </c>
      <c r="B12" s="45">
        <v>0</v>
      </c>
      <c r="C12" s="45"/>
      <c r="D12" s="45">
        <v>1</v>
      </c>
      <c r="E12" s="45"/>
      <c r="F12" s="45" t="s">
        <v>87</v>
      </c>
      <c r="G12" s="44" t="s">
        <v>27</v>
      </c>
      <c r="H12" t="s">
        <v>127</v>
      </c>
      <c r="I12" s="44" t="s">
        <v>118</v>
      </c>
      <c r="J12" s="44" t="s">
        <v>51</v>
      </c>
      <c r="K12" s="46" t="s">
        <v>63</v>
      </c>
      <c r="L12" s="17">
        <v>0</v>
      </c>
      <c r="M12" s="17"/>
      <c r="N12" s="47">
        <v>0.4</v>
      </c>
      <c r="O12" s="17" t="s">
        <v>14</v>
      </c>
      <c r="P12" s="17">
        <v>-1</v>
      </c>
      <c r="Q12" s="6">
        <v>5</v>
      </c>
      <c r="R12" s="17">
        <v>30</v>
      </c>
      <c r="S12" s="17">
        <v>30</v>
      </c>
      <c r="T12" s="42">
        <f>((Q12-(2.65*S12/100))/(1-(S12/100)))-(1.6-(0.003*R12))</f>
        <v>4.4971428571428582</v>
      </c>
      <c r="U12" s="48">
        <f t="shared" si="19"/>
        <v>-250</v>
      </c>
      <c r="V12" s="48">
        <f t="shared" si="20"/>
        <v>100</v>
      </c>
      <c r="W12" s="49">
        <f t="shared" si="21"/>
        <v>-1024.2857142857144</v>
      </c>
      <c r="X12" s="49">
        <f t="shared" si="22"/>
        <v>0</v>
      </c>
      <c r="Y12" s="50">
        <f t="shared" si="4"/>
        <v>20</v>
      </c>
      <c r="Z12" s="51"/>
      <c r="AB12" s="51" t="str">
        <f t="shared" si="23"/>
        <v>&gt;</v>
      </c>
      <c r="AC12" s="44">
        <f t="shared" si="24"/>
        <v>0.32</v>
      </c>
    </row>
    <row r="13" spans="1:29" s="44" customFormat="1" ht="14.45" x14ac:dyDescent="0.3">
      <c r="A13" s="44" t="s">
        <v>76</v>
      </c>
      <c r="B13" s="45">
        <v>0</v>
      </c>
      <c r="C13" s="45"/>
      <c r="D13" s="45">
        <v>1</v>
      </c>
      <c r="E13" s="45"/>
      <c r="F13" s="45" t="s">
        <v>89</v>
      </c>
      <c r="G13" s="44" t="s">
        <v>27</v>
      </c>
      <c r="H13" t="s">
        <v>127</v>
      </c>
      <c r="I13" s="44" t="s">
        <v>117</v>
      </c>
      <c r="J13" s="44" t="s">
        <v>51</v>
      </c>
      <c r="K13" s="46">
        <v>0</v>
      </c>
      <c r="L13" s="17">
        <v>1.3</v>
      </c>
      <c r="M13" s="17"/>
      <c r="N13" s="47">
        <v>2</v>
      </c>
      <c r="O13" s="17" t="s">
        <v>116</v>
      </c>
      <c r="P13" s="17">
        <v>-1</v>
      </c>
      <c r="Q13" s="6">
        <v>5</v>
      </c>
      <c r="R13" s="17"/>
      <c r="S13" s="17">
        <v>30</v>
      </c>
      <c r="T13" s="42">
        <f>((Q13-(2.65*S13/100))/(1-(S13/100)))</f>
        <v>6.007142857142858</v>
      </c>
      <c r="U13" s="48">
        <f t="shared" si="19"/>
        <v>-142.85714285714286</v>
      </c>
      <c r="V13" s="48">
        <f t="shared" si="20"/>
        <v>285.71428571428572</v>
      </c>
      <c r="W13" s="49">
        <f t="shared" si="21"/>
        <v>-572.44897959183686</v>
      </c>
      <c r="X13" s="49">
        <f t="shared" si="22"/>
        <v>0</v>
      </c>
      <c r="Y13" s="50">
        <f t="shared" si="4"/>
        <v>20</v>
      </c>
      <c r="Z13" s="51"/>
      <c r="AB13" s="51" t="str">
        <f t="shared" si="23"/>
        <v>&gt;</v>
      </c>
      <c r="AC13" s="44">
        <f t="shared" si="24"/>
        <v>1.86</v>
      </c>
    </row>
    <row r="14" spans="1:29" ht="14.45" x14ac:dyDescent="0.3">
      <c r="A14" t="s">
        <v>76</v>
      </c>
      <c r="B14" s="2">
        <v>0</v>
      </c>
      <c r="D14" s="2">
        <v>1</v>
      </c>
      <c r="F14" s="2" t="s">
        <v>88</v>
      </c>
      <c r="G14" t="s">
        <v>27</v>
      </c>
      <c r="H14" t="s">
        <v>128</v>
      </c>
      <c r="I14" t="s">
        <v>90</v>
      </c>
      <c r="J14" t="s">
        <v>51</v>
      </c>
      <c r="K14" s="6">
        <v>0</v>
      </c>
      <c r="L14" s="7">
        <v>1.3</v>
      </c>
      <c r="M14" s="7"/>
      <c r="N14" s="8">
        <v>2.2000000000000002</v>
      </c>
      <c r="O14" s="7" t="s">
        <v>91</v>
      </c>
      <c r="P14" s="7">
        <v>-1</v>
      </c>
      <c r="Q14" s="6">
        <v>5</v>
      </c>
      <c r="R14" s="7"/>
      <c r="S14" s="7"/>
      <c r="T14" s="42">
        <f t="shared" si="7"/>
        <v>5</v>
      </c>
      <c r="U14" s="26">
        <f t="shared" ref="U14" si="25">(L$2-N$2)/(L14-N14)</f>
        <v>-111.1111111111111</v>
      </c>
      <c r="V14" s="26">
        <f t="shared" ref="V14" si="26">L$2-(U14*L14)</f>
        <v>244.44444444444443</v>
      </c>
      <c r="W14" s="24">
        <f t="shared" ref="W14" si="27">U14*T14+V14</f>
        <v>-311.11111111111109</v>
      </c>
      <c r="X14" s="24">
        <f t="shared" ref="X14" si="28">IF(P14=-1,IF(T14&lt;L14,100,IF(T14&gt;N14,0,W14)),IF(P14=1,IF(T14&gt;L14,100,IF(T14&lt;N14,0,W14))))</f>
        <v>0</v>
      </c>
      <c r="Y14" s="21">
        <f t="shared" si="4"/>
        <v>20</v>
      </c>
      <c r="Z14" s="1"/>
      <c r="AB14" s="1" t="str">
        <f t="shared" ref="AB14" si="29">IF(P14=-1,"&gt;","&lt;" )</f>
        <v>&gt;</v>
      </c>
      <c r="AC14">
        <f t="shared" ref="AC14" si="30">(Y14-V14)/U14</f>
        <v>2.02</v>
      </c>
    </row>
    <row r="15" spans="1:29" s="53" customFormat="1" ht="14.45" x14ac:dyDescent="0.3">
      <c r="A15" s="53" t="s">
        <v>76</v>
      </c>
      <c r="B15" s="52">
        <v>1</v>
      </c>
      <c r="C15" s="52"/>
      <c r="D15" s="52">
        <v>1</v>
      </c>
      <c r="E15" s="52">
        <v>58322</v>
      </c>
      <c r="F15" s="52"/>
      <c r="G15" s="53" t="s">
        <v>29</v>
      </c>
      <c r="H15" s="53" t="s">
        <v>129</v>
      </c>
      <c r="I15" s="53" t="s">
        <v>2</v>
      </c>
      <c r="J15" s="53" t="s">
        <v>52</v>
      </c>
      <c r="K15" s="54">
        <v>0</v>
      </c>
      <c r="L15" s="55">
        <v>95</v>
      </c>
      <c r="M15" s="55"/>
      <c r="N15" s="55">
        <v>100</v>
      </c>
      <c r="O15" s="55"/>
      <c r="P15" s="55">
        <v>-1</v>
      </c>
      <c r="Q15" s="54">
        <v>5</v>
      </c>
      <c r="R15" s="55"/>
      <c r="S15" s="55"/>
      <c r="T15" s="63">
        <f t="shared" si="7"/>
        <v>5</v>
      </c>
      <c r="U15" s="64">
        <f t="shared" si="0"/>
        <v>-20</v>
      </c>
      <c r="V15" s="64">
        <f t="shared" si="1"/>
        <v>2000</v>
      </c>
      <c r="W15" s="65">
        <f t="shared" si="2"/>
        <v>1900</v>
      </c>
      <c r="X15" s="65">
        <f t="shared" si="3"/>
        <v>100</v>
      </c>
      <c r="Y15" s="66">
        <f t="shared" si="4"/>
        <v>20</v>
      </c>
      <c r="AB15" s="62" t="str">
        <f t="shared" si="5"/>
        <v>&gt;</v>
      </c>
      <c r="AC15" s="53">
        <f t="shared" si="6"/>
        <v>99</v>
      </c>
    </row>
    <row r="16" spans="1:29" s="53" customFormat="1" ht="14.45" x14ac:dyDescent="0.3">
      <c r="A16" s="53" t="s">
        <v>76</v>
      </c>
      <c r="B16" s="52">
        <v>1</v>
      </c>
      <c r="C16" s="52"/>
      <c r="D16" s="52">
        <v>1</v>
      </c>
      <c r="E16" s="52">
        <v>58321</v>
      </c>
      <c r="F16" s="52"/>
      <c r="G16" s="53" t="s">
        <v>28</v>
      </c>
      <c r="H16" s="53" t="s">
        <v>130</v>
      </c>
      <c r="I16" s="53" t="s">
        <v>3</v>
      </c>
      <c r="J16" s="53" t="s">
        <v>52</v>
      </c>
      <c r="K16" s="54">
        <v>0</v>
      </c>
      <c r="L16" s="80">
        <v>30</v>
      </c>
      <c r="M16" s="80"/>
      <c r="N16" s="80">
        <v>55</v>
      </c>
      <c r="O16" s="55">
        <v>100</v>
      </c>
      <c r="P16" s="55">
        <v>-1</v>
      </c>
      <c r="Q16" s="54">
        <v>5</v>
      </c>
      <c r="R16" s="55">
        <v>30</v>
      </c>
      <c r="S16" s="55"/>
      <c r="T16" s="63">
        <f>Q16-R16</f>
        <v>-25</v>
      </c>
      <c r="U16" s="64">
        <f t="shared" si="0"/>
        <v>-4</v>
      </c>
      <c r="V16" s="64">
        <f t="shared" si="1"/>
        <v>220</v>
      </c>
      <c r="W16" s="65">
        <f t="shared" si="2"/>
        <v>320</v>
      </c>
      <c r="X16" s="65">
        <f t="shared" si="3"/>
        <v>100</v>
      </c>
      <c r="Y16" s="66">
        <f t="shared" si="4"/>
        <v>20</v>
      </c>
      <c r="AB16" s="62" t="str">
        <f t="shared" si="5"/>
        <v>&gt;</v>
      </c>
      <c r="AC16" s="53">
        <f t="shared" si="6"/>
        <v>50</v>
      </c>
    </row>
    <row r="17" spans="1:29" s="53" customFormat="1" ht="14.45" x14ac:dyDescent="0.3">
      <c r="A17" s="53" t="s">
        <v>76</v>
      </c>
      <c r="B17" s="52">
        <v>1</v>
      </c>
      <c r="C17" s="52"/>
      <c r="D17" s="52">
        <v>1</v>
      </c>
      <c r="E17" s="52">
        <v>58322</v>
      </c>
      <c r="F17" s="52"/>
      <c r="G17" s="53" t="s">
        <v>28</v>
      </c>
      <c r="H17" s="53" t="s">
        <v>131</v>
      </c>
      <c r="I17" s="53" t="s">
        <v>4</v>
      </c>
      <c r="J17" s="53" t="s">
        <v>52</v>
      </c>
      <c r="K17" s="54">
        <v>0</v>
      </c>
      <c r="L17" s="80">
        <v>30</v>
      </c>
      <c r="M17" s="80"/>
      <c r="N17" s="80">
        <v>55</v>
      </c>
      <c r="O17" s="55">
        <v>100</v>
      </c>
      <c r="P17" s="55">
        <v>-1</v>
      </c>
      <c r="Q17" s="54">
        <v>5</v>
      </c>
      <c r="R17" s="55">
        <v>30</v>
      </c>
      <c r="S17" s="55"/>
      <c r="T17" s="63">
        <f>Q17-R17</f>
        <v>-25</v>
      </c>
      <c r="U17" s="64">
        <f t="shared" si="0"/>
        <v>-4</v>
      </c>
      <c r="V17" s="64">
        <f t="shared" si="1"/>
        <v>220</v>
      </c>
      <c r="W17" s="65">
        <f t="shared" si="2"/>
        <v>320</v>
      </c>
      <c r="X17" s="65">
        <f t="shared" si="3"/>
        <v>100</v>
      </c>
      <c r="Y17" s="66">
        <f t="shared" si="4"/>
        <v>20</v>
      </c>
      <c r="AB17" s="62" t="str">
        <f t="shared" si="5"/>
        <v>&gt;</v>
      </c>
      <c r="AC17" s="53">
        <f t="shared" si="6"/>
        <v>50</v>
      </c>
    </row>
    <row r="18" spans="1:29" s="53" customFormat="1" ht="14.45" x14ac:dyDescent="0.3">
      <c r="A18" s="53" t="s">
        <v>76</v>
      </c>
      <c r="B18" s="52">
        <v>1</v>
      </c>
      <c r="C18" s="52"/>
      <c r="D18" s="52">
        <v>1</v>
      </c>
      <c r="E18" s="52">
        <v>54867</v>
      </c>
      <c r="F18" s="52"/>
      <c r="G18" s="53" t="s">
        <v>30</v>
      </c>
      <c r="H18" s="53" t="s">
        <v>132</v>
      </c>
      <c r="I18" s="53" t="s">
        <v>7</v>
      </c>
      <c r="J18" s="53" t="s">
        <v>43</v>
      </c>
      <c r="K18" s="54">
        <v>12</v>
      </c>
      <c r="L18" s="55">
        <v>5.5</v>
      </c>
      <c r="M18" s="55"/>
      <c r="N18" s="74">
        <v>3.625</v>
      </c>
      <c r="O18" s="55">
        <v>1</v>
      </c>
      <c r="P18" s="55">
        <v>1</v>
      </c>
      <c r="Q18" s="54">
        <v>5</v>
      </c>
      <c r="R18" s="55"/>
      <c r="S18" s="55"/>
      <c r="T18" s="63">
        <f t="shared" si="7"/>
        <v>5</v>
      </c>
      <c r="U18" s="64">
        <f t="shared" si="0"/>
        <v>53.333333333333336</v>
      </c>
      <c r="V18" s="64">
        <f t="shared" si="1"/>
        <v>-193.33333333333337</v>
      </c>
      <c r="W18" s="65">
        <f t="shared" si="2"/>
        <v>73.333333333333314</v>
      </c>
      <c r="X18" s="65">
        <f t="shared" si="3"/>
        <v>73.333333333333314</v>
      </c>
      <c r="Y18" s="66">
        <f t="shared" si="4"/>
        <v>20</v>
      </c>
      <c r="AB18" s="62" t="str">
        <f t="shared" si="5"/>
        <v>&lt;</v>
      </c>
      <c r="AC18" s="76">
        <f t="shared" si="6"/>
        <v>4.0000000000000009</v>
      </c>
    </row>
    <row r="19" spans="1:29" ht="14.45" x14ac:dyDescent="0.3">
      <c r="A19" t="s">
        <v>76</v>
      </c>
      <c r="B19" s="2">
        <v>0</v>
      </c>
      <c r="D19" s="2">
        <v>1</v>
      </c>
      <c r="E19" s="2">
        <v>27129</v>
      </c>
      <c r="G19" t="s">
        <v>30</v>
      </c>
      <c r="H19" t="s">
        <v>133</v>
      </c>
      <c r="I19" t="s">
        <v>92</v>
      </c>
      <c r="J19" t="s">
        <v>43</v>
      </c>
      <c r="K19" s="6">
        <v>12</v>
      </c>
      <c r="L19" s="7">
        <v>4.4000000000000004</v>
      </c>
      <c r="M19" s="7"/>
      <c r="N19" s="8">
        <v>2.9</v>
      </c>
      <c r="O19" s="8">
        <v>1</v>
      </c>
      <c r="P19" s="7">
        <v>1</v>
      </c>
      <c r="Q19" s="6">
        <v>5</v>
      </c>
      <c r="R19" s="7"/>
      <c r="S19" s="7"/>
      <c r="T19" s="42">
        <f t="shared" si="7"/>
        <v>5</v>
      </c>
      <c r="U19" s="26">
        <f t="shared" ref="U19:U20" si="31">(L$2-N$2)/(L19-N19)</f>
        <v>66.666666666666643</v>
      </c>
      <c r="V19" s="26">
        <f t="shared" ref="V19:V20" si="32">L$2-(U19*L19)</f>
        <v>-193.33333333333326</v>
      </c>
      <c r="W19" s="24">
        <f t="shared" ref="W19:W20" si="33">U19*T19+V19</f>
        <v>139.99999999999994</v>
      </c>
      <c r="X19" s="24">
        <f t="shared" ref="X19:X20" si="34">IF(P19=-1,IF(T19&lt;L19,100,IF(T19&gt;N19,0,W19)),IF(P19=1,IF(T19&gt;L19,100,IF(T19&lt;N19,0,W19))))</f>
        <v>100</v>
      </c>
      <c r="Y19" s="21">
        <f t="shared" si="4"/>
        <v>20</v>
      </c>
      <c r="AB19" s="1" t="str">
        <f t="shared" ref="AB19:AB20" si="35">IF(P19=-1,"&gt;","&lt;" )</f>
        <v>&lt;</v>
      </c>
      <c r="AC19" s="77">
        <f t="shared" ref="AC19:AC20" si="36">(Y19-V19)/U19</f>
        <v>3.2</v>
      </c>
    </row>
    <row r="20" spans="1:29" ht="14.45" x14ac:dyDescent="0.3">
      <c r="A20" t="s">
        <v>76</v>
      </c>
      <c r="B20" s="2">
        <v>0</v>
      </c>
      <c r="D20" s="2">
        <v>1</v>
      </c>
      <c r="E20" s="2">
        <v>9357</v>
      </c>
      <c r="G20" t="s">
        <v>30</v>
      </c>
      <c r="H20" t="s">
        <v>134</v>
      </c>
      <c r="I20" t="s">
        <v>93</v>
      </c>
      <c r="J20" t="s">
        <v>43</v>
      </c>
      <c r="K20" s="6">
        <v>12</v>
      </c>
      <c r="L20" s="7">
        <v>4.7</v>
      </c>
      <c r="M20" s="7"/>
      <c r="N20" s="8">
        <v>3.2</v>
      </c>
      <c r="O20" s="8">
        <v>1</v>
      </c>
      <c r="P20" s="7">
        <v>1</v>
      </c>
      <c r="Q20" s="6">
        <v>5</v>
      </c>
      <c r="R20" s="7"/>
      <c r="S20" s="7"/>
      <c r="T20" s="42">
        <f t="shared" si="7"/>
        <v>5</v>
      </c>
      <c r="U20" s="26">
        <f t="shared" si="31"/>
        <v>66.666666666666671</v>
      </c>
      <c r="V20" s="26">
        <f t="shared" si="32"/>
        <v>-213.33333333333337</v>
      </c>
      <c r="W20" s="24">
        <f t="shared" si="33"/>
        <v>120</v>
      </c>
      <c r="X20" s="24">
        <f t="shared" si="34"/>
        <v>100</v>
      </c>
      <c r="Y20" s="21">
        <f t="shared" si="4"/>
        <v>20</v>
      </c>
      <c r="AB20" s="1" t="str">
        <f t="shared" si="35"/>
        <v>&lt;</v>
      </c>
      <c r="AC20" s="77">
        <f t="shared" si="36"/>
        <v>3.5000000000000004</v>
      </c>
    </row>
    <row r="21" spans="1:29" s="53" customFormat="1" ht="14.45" x14ac:dyDescent="0.3">
      <c r="A21" s="53" t="s">
        <v>76</v>
      </c>
      <c r="B21" s="52">
        <v>1</v>
      </c>
      <c r="C21" s="52"/>
      <c r="D21" s="52">
        <v>1</v>
      </c>
      <c r="E21" s="52">
        <v>54867</v>
      </c>
      <c r="F21" s="52"/>
      <c r="G21" s="53" t="s">
        <v>31</v>
      </c>
      <c r="H21" s="53" t="s">
        <v>132</v>
      </c>
      <c r="I21" s="53" t="s">
        <v>8</v>
      </c>
      <c r="J21" s="53" t="s">
        <v>43</v>
      </c>
      <c r="K21" s="54">
        <v>1</v>
      </c>
      <c r="L21" s="55">
        <v>7.8</v>
      </c>
      <c r="M21" s="55"/>
      <c r="N21" s="55">
        <v>9.0500000000000007</v>
      </c>
      <c r="O21" s="55">
        <v>12</v>
      </c>
      <c r="P21" s="55">
        <v>-1</v>
      </c>
      <c r="Q21" s="54">
        <v>5</v>
      </c>
      <c r="R21" s="55"/>
      <c r="S21" s="55"/>
      <c r="T21" s="63">
        <f t="shared" si="7"/>
        <v>5</v>
      </c>
      <c r="U21" s="64">
        <f t="shared" si="0"/>
        <v>-79.999999999999943</v>
      </c>
      <c r="V21" s="64">
        <f t="shared" si="1"/>
        <v>723.99999999999955</v>
      </c>
      <c r="W21" s="65">
        <f t="shared" si="2"/>
        <v>323.99999999999983</v>
      </c>
      <c r="X21" s="65">
        <f t="shared" si="3"/>
        <v>100</v>
      </c>
      <c r="Y21" s="66">
        <f t="shared" si="4"/>
        <v>20</v>
      </c>
      <c r="AB21" s="62" t="str">
        <f t="shared" si="5"/>
        <v>&gt;</v>
      </c>
      <c r="AC21" s="76">
        <f t="shared" si="6"/>
        <v>8.8000000000000007</v>
      </c>
    </row>
    <row r="22" spans="1:29" ht="14.45" x14ac:dyDescent="0.3">
      <c r="A22" t="s">
        <v>76</v>
      </c>
      <c r="B22" s="2">
        <v>0</v>
      </c>
      <c r="D22" s="2">
        <v>1</v>
      </c>
      <c r="E22" s="2">
        <v>27129</v>
      </c>
      <c r="G22" t="s">
        <v>31</v>
      </c>
      <c r="H22" t="s">
        <v>133</v>
      </c>
      <c r="I22" t="s">
        <v>94</v>
      </c>
      <c r="J22" t="s">
        <v>43</v>
      </c>
      <c r="K22" s="6">
        <v>1</v>
      </c>
      <c r="L22" s="7">
        <v>6.7</v>
      </c>
      <c r="M22" s="7"/>
      <c r="N22" s="8">
        <v>7.95</v>
      </c>
      <c r="O22" s="8">
        <v>12</v>
      </c>
      <c r="P22" s="7">
        <v>-1</v>
      </c>
      <c r="Q22" s="6">
        <v>5</v>
      </c>
      <c r="R22" s="7"/>
      <c r="S22" s="7"/>
      <c r="T22" s="42">
        <f t="shared" si="7"/>
        <v>5</v>
      </c>
      <c r="U22" s="26">
        <f t="shared" ref="U22:U23" si="37">(L$2-N$2)/(L22-N22)</f>
        <v>-80</v>
      </c>
      <c r="V22" s="26">
        <f t="shared" ref="V22:V23" si="38">L$2-(U22*L22)</f>
        <v>636</v>
      </c>
      <c r="W22" s="24">
        <f t="shared" ref="W22:W23" si="39">U22*T22+V22</f>
        <v>236</v>
      </c>
      <c r="X22" s="24">
        <f t="shared" ref="X22:X23" si="40">IF(P22=-1,IF(T22&lt;L22,100,IF(T22&gt;N22,0,W22)),IF(P22=1,IF(T22&gt;L22,100,IF(T22&lt;N22,0,W22))))</f>
        <v>100</v>
      </c>
      <c r="Y22" s="21">
        <f t="shared" si="4"/>
        <v>20</v>
      </c>
      <c r="AB22" s="1" t="str">
        <f t="shared" ref="AB22:AB23" si="41">IF(P22=-1,"&gt;","&lt;" )</f>
        <v>&gt;</v>
      </c>
      <c r="AC22" s="77">
        <f t="shared" ref="AC22:AC23" si="42">(Y22-V22)/U22</f>
        <v>7.7</v>
      </c>
    </row>
    <row r="23" spans="1:29" ht="14.45" x14ac:dyDescent="0.3">
      <c r="A23" t="s">
        <v>76</v>
      </c>
      <c r="B23" s="2">
        <v>0</v>
      </c>
      <c r="D23" s="2">
        <v>1</v>
      </c>
      <c r="E23" s="2">
        <v>9357</v>
      </c>
      <c r="G23" t="s">
        <v>31</v>
      </c>
      <c r="H23" t="s">
        <v>134</v>
      </c>
      <c r="I23" t="s">
        <v>95</v>
      </c>
      <c r="J23" t="s">
        <v>43</v>
      </c>
      <c r="K23" s="6">
        <v>1</v>
      </c>
      <c r="L23" s="7">
        <v>7.2</v>
      </c>
      <c r="M23" s="7"/>
      <c r="N23" s="78">
        <v>8.58</v>
      </c>
      <c r="O23" s="8">
        <v>12</v>
      </c>
      <c r="P23" s="7">
        <v>-1</v>
      </c>
      <c r="Q23" s="6">
        <v>5</v>
      </c>
      <c r="R23" s="7"/>
      <c r="S23" s="7"/>
      <c r="T23" s="42">
        <f t="shared" si="7"/>
        <v>5</v>
      </c>
      <c r="U23" s="26">
        <f t="shared" si="37"/>
        <v>-72.463768115942031</v>
      </c>
      <c r="V23" s="26">
        <f t="shared" si="38"/>
        <v>621.73913043478262</v>
      </c>
      <c r="W23" s="24">
        <f t="shared" si="39"/>
        <v>259.4202898550725</v>
      </c>
      <c r="X23" s="24">
        <f t="shared" si="40"/>
        <v>100</v>
      </c>
      <c r="Y23" s="21">
        <f t="shared" si="4"/>
        <v>20</v>
      </c>
      <c r="AB23" s="1" t="str">
        <f t="shared" si="41"/>
        <v>&gt;</v>
      </c>
      <c r="AC23" s="77">
        <f t="shared" si="42"/>
        <v>8.3040000000000003</v>
      </c>
    </row>
    <row r="24" spans="1:29" ht="14.45" x14ac:dyDescent="0.3">
      <c r="A24" t="s">
        <v>76</v>
      </c>
      <c r="B24" s="2">
        <v>0</v>
      </c>
      <c r="D24" s="2">
        <v>1</v>
      </c>
      <c r="E24" s="2">
        <v>19455</v>
      </c>
      <c r="G24" t="s">
        <v>32</v>
      </c>
      <c r="H24" t="s">
        <v>135</v>
      </c>
      <c r="I24" t="s">
        <v>9</v>
      </c>
      <c r="J24" t="s">
        <v>53</v>
      </c>
      <c r="K24" s="6">
        <v>0</v>
      </c>
      <c r="L24" s="7">
        <v>150</v>
      </c>
      <c r="M24" s="7"/>
      <c r="N24" s="8">
        <v>750</v>
      </c>
      <c r="O24" s="8">
        <v>1000</v>
      </c>
      <c r="P24" s="7">
        <v>-1</v>
      </c>
      <c r="Q24" s="6">
        <v>5</v>
      </c>
      <c r="R24" s="7"/>
      <c r="S24" s="7"/>
      <c r="T24" s="42">
        <f t="shared" si="7"/>
        <v>5</v>
      </c>
      <c r="U24" s="26">
        <f t="shared" si="0"/>
        <v>-0.16666666666666666</v>
      </c>
      <c r="V24" s="26">
        <f t="shared" si="1"/>
        <v>125</v>
      </c>
      <c r="W24" s="24">
        <f t="shared" si="2"/>
        <v>124.16666666666667</v>
      </c>
      <c r="X24" s="24">
        <f t="shared" si="3"/>
        <v>100</v>
      </c>
      <c r="Y24" s="21">
        <f t="shared" si="4"/>
        <v>20</v>
      </c>
      <c r="AB24" s="1" t="str">
        <f t="shared" si="5"/>
        <v>&gt;</v>
      </c>
      <c r="AC24" s="77">
        <f t="shared" si="6"/>
        <v>630</v>
      </c>
    </row>
    <row r="25" spans="1:29" ht="14.45" x14ac:dyDescent="0.3">
      <c r="A25" t="s">
        <v>76</v>
      </c>
      <c r="B25" s="2">
        <v>0</v>
      </c>
      <c r="D25" s="2">
        <v>1</v>
      </c>
      <c r="E25" s="2">
        <v>10615</v>
      </c>
      <c r="G25" t="s">
        <v>32</v>
      </c>
      <c r="H25" t="s">
        <v>136</v>
      </c>
      <c r="I25" t="s">
        <v>10</v>
      </c>
      <c r="J25" t="s">
        <v>53</v>
      </c>
      <c r="K25" s="6">
        <v>0</v>
      </c>
      <c r="L25" s="7">
        <v>150</v>
      </c>
      <c r="M25" s="7"/>
      <c r="N25" s="8">
        <v>750</v>
      </c>
      <c r="O25" s="8">
        <v>1000</v>
      </c>
      <c r="P25" s="7">
        <v>-1</v>
      </c>
      <c r="Q25" s="6">
        <v>5</v>
      </c>
      <c r="R25" s="7"/>
      <c r="S25" s="7"/>
      <c r="T25" s="42">
        <f t="shared" si="7"/>
        <v>5</v>
      </c>
      <c r="U25" s="26">
        <f t="shared" si="0"/>
        <v>-0.16666666666666666</v>
      </c>
      <c r="V25" s="26">
        <f t="shared" si="1"/>
        <v>125</v>
      </c>
      <c r="W25" s="24">
        <f t="shared" si="2"/>
        <v>124.16666666666667</v>
      </c>
      <c r="X25" s="24">
        <f t="shared" si="3"/>
        <v>100</v>
      </c>
      <c r="Y25" s="21">
        <f t="shared" si="4"/>
        <v>20</v>
      </c>
      <c r="AB25" s="1" t="str">
        <f t="shared" si="5"/>
        <v>&gt;</v>
      </c>
      <c r="AC25" s="77">
        <f t="shared" si="6"/>
        <v>630</v>
      </c>
    </row>
    <row r="26" spans="1:29" ht="14.45" x14ac:dyDescent="0.3">
      <c r="A26" t="s">
        <v>76</v>
      </c>
      <c r="B26" s="2">
        <v>0</v>
      </c>
      <c r="D26" s="2">
        <v>1</v>
      </c>
      <c r="E26" s="2">
        <v>3937</v>
      </c>
      <c r="F26" s="2" t="s">
        <v>96</v>
      </c>
      <c r="G26" t="s">
        <v>33</v>
      </c>
      <c r="H26" t="s">
        <v>137</v>
      </c>
      <c r="I26" t="s">
        <v>97</v>
      </c>
      <c r="J26" t="s">
        <v>54</v>
      </c>
      <c r="K26" s="6">
        <v>0</v>
      </c>
      <c r="L26" s="7">
        <v>2</v>
      </c>
      <c r="M26" s="7"/>
      <c r="N26" s="8">
        <v>10</v>
      </c>
      <c r="O26" s="7" t="s">
        <v>223</v>
      </c>
      <c r="P26" s="7">
        <v>-1</v>
      </c>
      <c r="Q26" s="6">
        <v>5</v>
      </c>
      <c r="R26" s="7"/>
      <c r="S26" s="7"/>
      <c r="T26" s="42">
        <f t="shared" si="7"/>
        <v>5</v>
      </c>
      <c r="U26" s="26">
        <f t="shared" ref="U26" si="43">(L$2-N$2)/(L26-N26)</f>
        <v>-12.5</v>
      </c>
      <c r="V26" s="26">
        <f t="shared" ref="V26" si="44">L$2-(U26*L26)</f>
        <v>125</v>
      </c>
      <c r="W26" s="24">
        <f t="shared" ref="W26" si="45">U26*T26+V26</f>
        <v>62.5</v>
      </c>
      <c r="X26" s="24">
        <f t="shared" ref="X26" si="46">IF(P26=-1,IF(T26&lt;L26,100,IF(T26&gt;N26,0,W26)),IF(P26=1,IF(T26&gt;L26,100,IF(T26&lt;N26,0,W26))))</f>
        <v>62.5</v>
      </c>
      <c r="Y26" s="21">
        <f t="shared" si="4"/>
        <v>20</v>
      </c>
      <c r="AB26" s="1" t="str">
        <f t="shared" ref="AB26" si="47">IF(P26=-1,"&gt;","&lt;" )</f>
        <v>&gt;</v>
      </c>
      <c r="AC26" s="77">
        <f t="shared" ref="AC26" si="48">(Y26-V26)/U26</f>
        <v>8.4</v>
      </c>
    </row>
    <row r="27" spans="1:29" s="53" customFormat="1" ht="14.45" x14ac:dyDescent="0.3">
      <c r="A27" s="53" t="s">
        <v>76</v>
      </c>
      <c r="B27" s="52">
        <v>1</v>
      </c>
      <c r="C27" s="52"/>
      <c r="D27" s="52">
        <v>1</v>
      </c>
      <c r="E27" s="52">
        <v>24168</v>
      </c>
      <c r="F27" s="82" t="s">
        <v>236</v>
      </c>
      <c r="G27" s="53" t="s">
        <v>33</v>
      </c>
      <c r="H27" s="53" t="s">
        <v>138</v>
      </c>
      <c r="I27" s="53" t="s">
        <v>11</v>
      </c>
      <c r="J27" s="53" t="s">
        <v>54</v>
      </c>
      <c r="K27" s="54">
        <v>0</v>
      </c>
      <c r="L27" s="55">
        <v>1.5</v>
      </c>
      <c r="M27" s="55"/>
      <c r="N27" s="74">
        <v>6.75</v>
      </c>
      <c r="O27" s="55" t="s">
        <v>12</v>
      </c>
      <c r="P27" s="55">
        <v>-1</v>
      </c>
      <c r="Q27" s="54">
        <v>5</v>
      </c>
      <c r="R27" s="55"/>
      <c r="S27" s="55"/>
      <c r="T27" s="63">
        <f t="shared" si="7"/>
        <v>5</v>
      </c>
      <c r="U27" s="64">
        <f t="shared" si="0"/>
        <v>-19.047619047619047</v>
      </c>
      <c r="V27" s="64">
        <f t="shared" si="1"/>
        <v>128.57142857142856</v>
      </c>
      <c r="W27" s="65">
        <f t="shared" si="2"/>
        <v>33.333333333333314</v>
      </c>
      <c r="X27" s="65">
        <f t="shared" si="3"/>
        <v>33.333333333333314</v>
      </c>
      <c r="Y27" s="66">
        <f t="shared" si="4"/>
        <v>20</v>
      </c>
      <c r="AB27" s="62" t="str">
        <f t="shared" si="5"/>
        <v>&gt;</v>
      </c>
      <c r="AC27" s="76">
        <f t="shared" si="6"/>
        <v>5.6999999999999993</v>
      </c>
    </row>
    <row r="28" spans="1:29" s="53" customFormat="1" ht="14.45" x14ac:dyDescent="0.3">
      <c r="A28" s="53" t="s">
        <v>76</v>
      </c>
      <c r="B28" s="52">
        <v>1</v>
      </c>
      <c r="C28" s="52"/>
      <c r="D28" s="52">
        <v>1</v>
      </c>
      <c r="E28" s="52">
        <v>43114</v>
      </c>
      <c r="F28" s="82" t="s">
        <v>246</v>
      </c>
      <c r="G28" s="53" t="s">
        <v>34</v>
      </c>
      <c r="H28" s="53" t="s">
        <v>144</v>
      </c>
      <c r="I28" s="53" t="s">
        <v>142</v>
      </c>
      <c r="J28" s="53" t="s">
        <v>55</v>
      </c>
      <c r="K28" s="54">
        <v>0</v>
      </c>
      <c r="L28" s="55">
        <v>10</v>
      </c>
      <c r="M28" s="55"/>
      <c r="N28" s="55">
        <v>25</v>
      </c>
      <c r="O28" s="55">
        <v>100</v>
      </c>
      <c r="P28" s="55">
        <v>-1</v>
      </c>
      <c r="Q28" s="54">
        <v>5</v>
      </c>
      <c r="R28" s="55">
        <v>20</v>
      </c>
      <c r="S28" s="55"/>
      <c r="T28" s="63">
        <f>Q28*100/R28</f>
        <v>25</v>
      </c>
      <c r="U28" s="64">
        <f t="shared" si="0"/>
        <v>-6.666666666666667</v>
      </c>
      <c r="V28" s="64">
        <f t="shared" si="1"/>
        <v>166.66666666666669</v>
      </c>
      <c r="W28" s="65">
        <f t="shared" si="2"/>
        <v>0</v>
      </c>
      <c r="X28" s="65">
        <f t="shared" si="3"/>
        <v>0</v>
      </c>
      <c r="Y28" s="66">
        <f t="shared" si="4"/>
        <v>20</v>
      </c>
      <c r="AB28" s="62" t="str">
        <f t="shared" si="5"/>
        <v>&gt;</v>
      </c>
      <c r="AC28" s="76">
        <f t="shared" si="6"/>
        <v>22.000000000000004</v>
      </c>
    </row>
    <row r="29" spans="1:29" s="53" customFormat="1" ht="14.45" x14ac:dyDescent="0.3">
      <c r="A29" s="53" t="s">
        <v>76</v>
      </c>
      <c r="B29" s="52">
        <v>1</v>
      </c>
      <c r="C29" s="52"/>
      <c r="D29" s="52">
        <v>1</v>
      </c>
      <c r="E29" s="52">
        <v>46225</v>
      </c>
      <c r="F29" s="82" t="s">
        <v>237</v>
      </c>
      <c r="G29" s="53" t="s">
        <v>34</v>
      </c>
      <c r="H29" s="53" t="s">
        <v>139</v>
      </c>
      <c r="I29" s="53" t="s">
        <v>13</v>
      </c>
      <c r="J29" s="53" t="s">
        <v>56</v>
      </c>
      <c r="K29" s="54">
        <v>0</v>
      </c>
      <c r="L29" s="55">
        <v>1</v>
      </c>
      <c r="M29" s="55"/>
      <c r="N29" s="55">
        <v>5</v>
      </c>
      <c r="O29" s="55" t="s">
        <v>15</v>
      </c>
      <c r="P29" s="55">
        <v>-1</v>
      </c>
      <c r="Q29" s="54">
        <v>5</v>
      </c>
      <c r="R29" s="55"/>
      <c r="S29" s="55"/>
      <c r="T29" s="63">
        <f t="shared" si="7"/>
        <v>5</v>
      </c>
      <c r="U29" s="64">
        <f t="shared" si="0"/>
        <v>-25</v>
      </c>
      <c r="V29" s="64">
        <f t="shared" si="1"/>
        <v>125</v>
      </c>
      <c r="W29" s="65">
        <f t="shared" si="2"/>
        <v>0</v>
      </c>
      <c r="X29" s="65">
        <f t="shared" si="3"/>
        <v>0</v>
      </c>
      <c r="Y29" s="66">
        <f t="shared" si="4"/>
        <v>20</v>
      </c>
      <c r="AB29" s="62" t="str">
        <f t="shared" si="5"/>
        <v>&gt;</v>
      </c>
      <c r="AC29" s="76">
        <f t="shared" si="6"/>
        <v>4.2</v>
      </c>
    </row>
    <row r="30" spans="1:29" ht="14.45" x14ac:dyDescent="0.3">
      <c r="A30" t="s">
        <v>76</v>
      </c>
      <c r="B30" s="2">
        <v>0</v>
      </c>
      <c r="D30" s="2">
        <v>1</v>
      </c>
      <c r="E30" s="2">
        <v>12624</v>
      </c>
      <c r="G30" t="s">
        <v>35</v>
      </c>
      <c r="H30" t="s">
        <v>145</v>
      </c>
      <c r="I30" t="s">
        <v>16</v>
      </c>
      <c r="J30" t="s">
        <v>55</v>
      </c>
      <c r="K30" s="6">
        <v>0</v>
      </c>
      <c r="L30" s="7">
        <v>30</v>
      </c>
      <c r="M30" s="7"/>
      <c r="N30" s="8">
        <v>80</v>
      </c>
      <c r="O30" s="8">
        <v>100</v>
      </c>
      <c r="P30" s="7">
        <v>-1</v>
      </c>
      <c r="Q30" s="6">
        <v>5</v>
      </c>
      <c r="R30" s="7">
        <v>25</v>
      </c>
      <c r="S30" s="7"/>
      <c r="T30" s="42">
        <f>Q30*100/R30</f>
        <v>20</v>
      </c>
      <c r="U30" s="26">
        <f t="shared" si="0"/>
        <v>-2</v>
      </c>
      <c r="V30" s="26">
        <f t="shared" si="1"/>
        <v>160</v>
      </c>
      <c r="W30" s="24">
        <f t="shared" si="2"/>
        <v>120</v>
      </c>
      <c r="X30" s="24">
        <f t="shared" si="3"/>
        <v>100</v>
      </c>
      <c r="Y30" s="21">
        <f t="shared" si="4"/>
        <v>20</v>
      </c>
      <c r="AB30" s="1" t="str">
        <f t="shared" si="5"/>
        <v>&gt;</v>
      </c>
      <c r="AC30" s="77">
        <f t="shared" si="6"/>
        <v>70</v>
      </c>
    </row>
    <row r="31" spans="1:29" ht="14.45" x14ac:dyDescent="0.3">
      <c r="A31" t="s">
        <v>76</v>
      </c>
      <c r="B31" s="2">
        <v>0</v>
      </c>
      <c r="D31" s="2">
        <v>1</v>
      </c>
      <c r="E31" s="2">
        <v>13487</v>
      </c>
      <c r="G31" t="s">
        <v>35</v>
      </c>
      <c r="H31" t="s">
        <v>141</v>
      </c>
      <c r="I31" t="s">
        <v>17</v>
      </c>
      <c r="J31" t="s">
        <v>56</v>
      </c>
      <c r="K31" s="6">
        <v>0</v>
      </c>
      <c r="L31" s="7">
        <v>2</v>
      </c>
      <c r="M31" s="7"/>
      <c r="N31" s="8">
        <v>6</v>
      </c>
      <c r="O31" s="8" t="s">
        <v>18</v>
      </c>
      <c r="P31" s="7">
        <v>-1</v>
      </c>
      <c r="Q31" s="6">
        <v>5</v>
      </c>
      <c r="R31" s="7"/>
      <c r="S31" s="7"/>
      <c r="T31" s="42">
        <f t="shared" si="7"/>
        <v>5</v>
      </c>
      <c r="U31" s="26">
        <f t="shared" si="0"/>
        <v>-25</v>
      </c>
      <c r="V31" s="26">
        <f t="shared" si="1"/>
        <v>150</v>
      </c>
      <c r="W31" s="24">
        <f t="shared" si="2"/>
        <v>25</v>
      </c>
      <c r="X31" s="24">
        <f t="shared" si="3"/>
        <v>25</v>
      </c>
      <c r="Y31" s="21">
        <f t="shared" si="4"/>
        <v>20</v>
      </c>
      <c r="AB31" s="1" t="str">
        <f t="shared" si="5"/>
        <v>&gt;</v>
      </c>
      <c r="AC31" s="77">
        <f t="shared" si="6"/>
        <v>5.2</v>
      </c>
    </row>
    <row r="32" spans="1:29" s="53" customFormat="1" ht="14.45" x14ac:dyDescent="0.3">
      <c r="A32" s="53" t="s">
        <v>76</v>
      </c>
      <c r="B32" s="52">
        <v>1</v>
      </c>
      <c r="C32" s="52"/>
      <c r="D32" s="52">
        <v>1</v>
      </c>
      <c r="E32" s="52">
        <v>24918</v>
      </c>
      <c r="F32" s="52"/>
      <c r="G32" s="53" t="s">
        <v>35</v>
      </c>
      <c r="H32" s="53" t="s">
        <v>140</v>
      </c>
      <c r="I32" s="53" t="s">
        <v>19</v>
      </c>
      <c r="J32" s="53" t="s">
        <v>55</v>
      </c>
      <c r="K32" s="54">
        <v>0</v>
      </c>
      <c r="L32" s="55">
        <v>35</v>
      </c>
      <c r="M32" s="55"/>
      <c r="N32" s="55">
        <v>85</v>
      </c>
      <c r="O32" s="55">
        <v>100</v>
      </c>
      <c r="P32" s="55">
        <v>-1</v>
      </c>
      <c r="Q32" s="54">
        <v>5</v>
      </c>
      <c r="R32" s="55">
        <v>25</v>
      </c>
      <c r="S32" s="55"/>
      <c r="T32" s="63">
        <f>Q32*100/R32</f>
        <v>20</v>
      </c>
      <c r="U32" s="64">
        <f t="shared" si="0"/>
        <v>-2</v>
      </c>
      <c r="V32" s="64">
        <f t="shared" si="1"/>
        <v>170</v>
      </c>
      <c r="W32" s="65">
        <f t="shared" si="2"/>
        <v>130</v>
      </c>
      <c r="X32" s="65">
        <f t="shared" si="3"/>
        <v>100</v>
      </c>
      <c r="Y32" s="66">
        <f t="shared" si="4"/>
        <v>20</v>
      </c>
      <c r="AB32" s="62" t="str">
        <f t="shared" si="5"/>
        <v>&gt;</v>
      </c>
      <c r="AC32" s="76">
        <f t="shared" si="6"/>
        <v>75</v>
      </c>
    </row>
    <row r="33" spans="1:29" s="53" customFormat="1" ht="14.45" x14ac:dyDescent="0.3">
      <c r="A33" s="53" t="s">
        <v>76</v>
      </c>
      <c r="B33" s="52">
        <v>1</v>
      </c>
      <c r="C33" s="52"/>
      <c r="D33" s="52">
        <v>1</v>
      </c>
      <c r="E33" s="52">
        <v>26791</v>
      </c>
      <c r="F33" s="52"/>
      <c r="G33" s="53" t="s">
        <v>35</v>
      </c>
      <c r="H33" s="53" t="s">
        <v>143</v>
      </c>
      <c r="I33" s="53" t="s">
        <v>20</v>
      </c>
      <c r="J33" s="53" t="s">
        <v>56</v>
      </c>
      <c r="K33" s="54">
        <v>0</v>
      </c>
      <c r="L33" s="55">
        <v>2.5</v>
      </c>
      <c r="M33" s="55"/>
      <c r="N33" s="55">
        <v>6.5</v>
      </c>
      <c r="O33" s="55" t="s">
        <v>21</v>
      </c>
      <c r="P33" s="55">
        <v>-1</v>
      </c>
      <c r="Q33" s="54">
        <v>5</v>
      </c>
      <c r="R33" s="55"/>
      <c r="S33" s="55"/>
      <c r="T33" s="63">
        <f t="shared" si="7"/>
        <v>5</v>
      </c>
      <c r="U33" s="64">
        <f t="shared" si="0"/>
        <v>-25</v>
      </c>
      <c r="V33" s="64">
        <f t="shared" si="1"/>
        <v>162.5</v>
      </c>
      <c r="W33" s="65">
        <f t="shared" si="2"/>
        <v>37.5</v>
      </c>
      <c r="X33" s="65">
        <f t="shared" si="3"/>
        <v>37.5</v>
      </c>
      <c r="Y33" s="66">
        <f t="shared" si="4"/>
        <v>20</v>
      </c>
      <c r="AB33" s="62" t="str">
        <f t="shared" si="5"/>
        <v>&gt;</v>
      </c>
      <c r="AC33" s="76">
        <f t="shared" si="6"/>
        <v>5.7</v>
      </c>
    </row>
    <row r="34" spans="1:29" ht="14.45" x14ac:dyDescent="0.3">
      <c r="A34" t="s">
        <v>76</v>
      </c>
      <c r="B34" s="2">
        <v>0</v>
      </c>
      <c r="D34" s="2">
        <v>1</v>
      </c>
      <c r="E34" s="2">
        <v>10521</v>
      </c>
      <c r="G34" t="s">
        <v>35</v>
      </c>
      <c r="H34" t="s">
        <v>148</v>
      </c>
      <c r="I34" t="s">
        <v>146</v>
      </c>
      <c r="J34" t="s">
        <v>52</v>
      </c>
      <c r="K34" s="6">
        <v>0</v>
      </c>
      <c r="L34" s="7">
        <v>0</v>
      </c>
      <c r="M34" s="7"/>
      <c r="N34" s="7">
        <v>100</v>
      </c>
      <c r="O34" s="7">
        <v>100</v>
      </c>
      <c r="P34" s="7">
        <v>-1</v>
      </c>
      <c r="Q34" s="6">
        <v>5</v>
      </c>
      <c r="R34" s="7"/>
      <c r="S34" s="7"/>
      <c r="T34" s="42">
        <f t="shared" si="7"/>
        <v>5</v>
      </c>
      <c r="U34" s="26">
        <f t="shared" si="0"/>
        <v>-1</v>
      </c>
      <c r="V34" s="26">
        <f t="shared" si="1"/>
        <v>100</v>
      </c>
      <c r="W34" s="24">
        <f t="shared" si="2"/>
        <v>95</v>
      </c>
      <c r="X34" s="24">
        <f t="shared" si="3"/>
        <v>95</v>
      </c>
      <c r="Y34" s="21">
        <f t="shared" si="4"/>
        <v>20</v>
      </c>
      <c r="AB34" s="1" t="str">
        <f t="shared" si="5"/>
        <v>&gt;</v>
      </c>
      <c r="AC34">
        <f t="shared" si="6"/>
        <v>80</v>
      </c>
    </row>
    <row r="35" spans="1:29" ht="14.45" x14ac:dyDescent="0.3">
      <c r="A35" t="s">
        <v>76</v>
      </c>
      <c r="B35" s="2">
        <v>0</v>
      </c>
      <c r="D35" s="2">
        <v>1</v>
      </c>
      <c r="E35" s="2">
        <v>4305</v>
      </c>
      <c r="G35" t="s">
        <v>35</v>
      </c>
      <c r="H35" t="s">
        <v>149</v>
      </c>
      <c r="I35" t="s">
        <v>147</v>
      </c>
      <c r="J35" t="s">
        <v>52</v>
      </c>
      <c r="K35" s="6">
        <v>0</v>
      </c>
      <c r="L35" s="7">
        <v>0</v>
      </c>
      <c r="M35" s="7"/>
      <c r="N35" s="7">
        <v>100</v>
      </c>
      <c r="O35" s="7">
        <v>100</v>
      </c>
      <c r="P35" s="7">
        <v>-1</v>
      </c>
      <c r="Q35" s="6">
        <v>5</v>
      </c>
      <c r="R35" s="7"/>
      <c r="S35" s="7"/>
      <c r="T35" s="42">
        <f t="shared" si="7"/>
        <v>5</v>
      </c>
      <c r="U35" s="26">
        <f t="shared" si="0"/>
        <v>-1</v>
      </c>
      <c r="V35" s="26">
        <f t="shared" si="1"/>
        <v>100</v>
      </c>
      <c r="W35" s="24">
        <f t="shared" si="2"/>
        <v>95</v>
      </c>
      <c r="X35" s="24">
        <f t="shared" si="3"/>
        <v>95</v>
      </c>
      <c r="Y35" s="21">
        <f t="shared" si="4"/>
        <v>20</v>
      </c>
      <c r="AB35" s="1" t="str">
        <f t="shared" si="5"/>
        <v>&gt;</v>
      </c>
      <c r="AC35">
        <f t="shared" si="6"/>
        <v>80</v>
      </c>
    </row>
    <row r="36" spans="1:29" ht="14.45" x14ac:dyDescent="0.3">
      <c r="A36" t="s">
        <v>76</v>
      </c>
      <c r="B36" s="2">
        <v>0</v>
      </c>
      <c r="D36" s="2">
        <v>1</v>
      </c>
      <c r="E36" s="2">
        <v>1139</v>
      </c>
      <c r="G36" t="s">
        <v>35</v>
      </c>
      <c r="H36" t="s">
        <v>150</v>
      </c>
      <c r="I36" t="s">
        <v>99</v>
      </c>
      <c r="J36" t="s">
        <v>57</v>
      </c>
      <c r="K36" s="6">
        <v>0</v>
      </c>
      <c r="L36" s="7">
        <v>0</v>
      </c>
      <c r="M36" s="7"/>
      <c r="N36" s="7">
        <v>1000000</v>
      </c>
      <c r="O36" s="7">
        <v>1000000</v>
      </c>
      <c r="P36" s="7">
        <v>-1</v>
      </c>
      <c r="Q36" s="6">
        <v>5</v>
      </c>
      <c r="R36" s="7"/>
      <c r="S36" s="7"/>
      <c r="T36" s="42">
        <f t="shared" si="7"/>
        <v>5</v>
      </c>
      <c r="U36" s="26">
        <f t="shared" ref="U36" si="49">(L$2-N$2)/(L36-N36)</f>
        <v>-1E-4</v>
      </c>
      <c r="V36" s="26">
        <f t="shared" ref="V36" si="50">L$2-(U36*L36)</f>
        <v>100</v>
      </c>
      <c r="W36" s="24">
        <f t="shared" ref="W36" si="51">U36*T36+V36</f>
        <v>99.999499999999998</v>
      </c>
      <c r="X36" s="24">
        <f t="shared" ref="X36" si="52">IF(P36=-1,IF(T36&lt;L36,100,IF(T36&gt;N36,0,W36)),IF(P36=1,IF(T36&gt;L36,100,IF(T36&lt;N36,0,W36))))</f>
        <v>99.999499999999998</v>
      </c>
      <c r="Y36" s="21">
        <f t="shared" si="4"/>
        <v>20</v>
      </c>
      <c r="AB36" s="1" t="str">
        <f t="shared" ref="AB36" si="53">IF(P36=-1,"&gt;","&lt;" )</f>
        <v>&gt;</v>
      </c>
      <c r="AC36">
        <f t="shared" ref="AC36" si="54">(Y36-V36)/U36</f>
        <v>800000</v>
      </c>
    </row>
    <row r="37" spans="1:29" ht="14.45" x14ac:dyDescent="0.3">
      <c r="A37" t="s">
        <v>76</v>
      </c>
      <c r="B37" s="2">
        <v>0</v>
      </c>
      <c r="D37" s="2">
        <v>1</v>
      </c>
      <c r="E37" s="2">
        <v>1540</v>
      </c>
      <c r="G37" t="s">
        <v>35</v>
      </c>
      <c r="H37" t="s">
        <v>151</v>
      </c>
      <c r="I37" t="s">
        <v>98</v>
      </c>
      <c r="J37" t="s">
        <v>57</v>
      </c>
      <c r="K37" s="6">
        <v>0</v>
      </c>
      <c r="L37" s="7">
        <v>1000</v>
      </c>
      <c r="M37" s="7"/>
      <c r="N37" s="8">
        <v>3000</v>
      </c>
      <c r="O37" s="7">
        <v>1000000</v>
      </c>
      <c r="P37" s="7">
        <v>-1</v>
      </c>
      <c r="Q37" s="6">
        <v>5</v>
      </c>
      <c r="R37" s="7"/>
      <c r="S37" s="7"/>
      <c r="T37" s="42">
        <f t="shared" si="7"/>
        <v>5</v>
      </c>
      <c r="U37" s="26">
        <f>(L$2-N$2)/(L37-N37)</f>
        <v>-0.05</v>
      </c>
      <c r="V37" s="26">
        <f>L$2-(U37*L37)</f>
        <v>150</v>
      </c>
      <c r="W37" s="24">
        <f t="shared" ref="W37" si="55">U37*T37+V37</f>
        <v>149.75</v>
      </c>
      <c r="X37" s="24">
        <f t="shared" ref="X37" si="56">IF(P37=-1,IF(T37&lt;L37,100,IF(T37&gt;N37,0,W37)),IF(P37=1,IF(T37&gt;L37,100,IF(T37&lt;N37,0,W37))))</f>
        <v>100</v>
      </c>
      <c r="Y37" s="21">
        <f t="shared" si="4"/>
        <v>20</v>
      </c>
      <c r="AB37" s="1" t="str">
        <f t="shared" ref="AB37" si="57">IF(P37=-1,"&gt;","&lt;" )</f>
        <v>&gt;</v>
      </c>
      <c r="AC37">
        <f t="shared" ref="AC37" si="58">(Y37-V37)/U37</f>
        <v>2600</v>
      </c>
    </row>
    <row r="38" spans="1:29" ht="14.45" x14ac:dyDescent="0.3">
      <c r="A38" t="s">
        <v>76</v>
      </c>
      <c r="B38" s="2">
        <v>0</v>
      </c>
      <c r="D38" s="2">
        <v>1</v>
      </c>
      <c r="E38" s="2">
        <v>2512</v>
      </c>
      <c r="G38" t="s">
        <v>35</v>
      </c>
      <c r="H38" t="s">
        <v>152</v>
      </c>
      <c r="I38" t="s">
        <v>24</v>
      </c>
      <c r="J38" t="s">
        <v>57</v>
      </c>
      <c r="K38" s="6">
        <v>0</v>
      </c>
      <c r="L38" s="7">
        <v>150</v>
      </c>
      <c r="M38" s="7"/>
      <c r="N38" s="8">
        <v>450</v>
      </c>
      <c r="O38" s="7">
        <v>1000000</v>
      </c>
      <c r="P38" s="7">
        <v>-1</v>
      </c>
      <c r="Q38" s="6">
        <v>5</v>
      </c>
      <c r="R38" s="7"/>
      <c r="S38" s="7"/>
      <c r="T38" s="42">
        <f t="shared" si="7"/>
        <v>5</v>
      </c>
      <c r="U38" s="26">
        <f>(L$2-N$2)/(L38-N38)</f>
        <v>-0.33333333333333331</v>
      </c>
      <c r="V38" s="26">
        <f>L$2-(U38*L38)</f>
        <v>150</v>
      </c>
      <c r="W38" s="24">
        <f>U38*T38+V38</f>
        <v>148.33333333333334</v>
      </c>
      <c r="X38" s="24">
        <f>IF(P38=-1,IF(T38&lt;L38,100,IF(T38&gt;N38,0,W38)),IF(P38=1,IF(T38&gt;L38,100,IF(T38&lt;N38,0,W38))))</f>
        <v>100</v>
      </c>
      <c r="Y38" s="21">
        <f t="shared" si="4"/>
        <v>20</v>
      </c>
      <c r="AB38" s="1" t="str">
        <f>IF(P38=-1,"&gt;","&lt;" )</f>
        <v>&gt;</v>
      </c>
      <c r="AC38">
        <f>(Y38-V38)/U38</f>
        <v>390</v>
      </c>
    </row>
    <row r="39" spans="1:29" ht="14.45" x14ac:dyDescent="0.3">
      <c r="A39" t="s">
        <v>76</v>
      </c>
      <c r="B39" s="2">
        <v>0</v>
      </c>
      <c r="D39" s="2">
        <v>1</v>
      </c>
      <c r="E39" s="2">
        <v>2440</v>
      </c>
      <c r="G39" t="s">
        <v>35</v>
      </c>
      <c r="H39" t="s">
        <v>153</v>
      </c>
      <c r="I39" t="s">
        <v>23</v>
      </c>
      <c r="J39" t="s">
        <v>57</v>
      </c>
      <c r="K39" s="6">
        <v>0</v>
      </c>
      <c r="L39" s="7">
        <v>100</v>
      </c>
      <c r="M39" s="7"/>
      <c r="N39" s="8">
        <v>300</v>
      </c>
      <c r="O39" s="7">
        <v>1000000</v>
      </c>
      <c r="P39" s="7">
        <v>-1</v>
      </c>
      <c r="Q39" s="6">
        <v>5</v>
      </c>
      <c r="R39" s="7"/>
      <c r="S39" s="7"/>
      <c r="T39" s="42">
        <f t="shared" si="7"/>
        <v>5</v>
      </c>
      <c r="U39" s="26">
        <f t="shared" si="0"/>
        <v>-0.5</v>
      </c>
      <c r="V39" s="26">
        <f t="shared" si="1"/>
        <v>150</v>
      </c>
      <c r="W39" s="24">
        <f t="shared" si="2"/>
        <v>147.5</v>
      </c>
      <c r="X39" s="24">
        <f t="shared" si="3"/>
        <v>100</v>
      </c>
      <c r="Y39" s="21">
        <f t="shared" si="4"/>
        <v>20</v>
      </c>
      <c r="AB39" s="1" t="str">
        <f t="shared" si="5"/>
        <v>&gt;</v>
      </c>
      <c r="AC39">
        <f t="shared" si="6"/>
        <v>260</v>
      </c>
    </row>
    <row r="40" spans="1:29" ht="14.45" x14ac:dyDescent="0.3">
      <c r="A40" t="s">
        <v>76</v>
      </c>
      <c r="B40" s="2">
        <v>0</v>
      </c>
      <c r="D40" s="2">
        <v>1</v>
      </c>
      <c r="E40" s="2">
        <v>410</v>
      </c>
      <c r="G40" t="s">
        <v>35</v>
      </c>
      <c r="H40" t="s">
        <v>154</v>
      </c>
      <c r="I40" t="s">
        <v>22</v>
      </c>
      <c r="J40" t="s">
        <v>57</v>
      </c>
      <c r="K40" s="6">
        <v>0</v>
      </c>
      <c r="L40" s="7">
        <v>1.5</v>
      </c>
      <c r="M40" s="7"/>
      <c r="N40" s="7">
        <v>7.5</v>
      </c>
      <c r="O40" s="7">
        <v>1000000</v>
      </c>
      <c r="P40" s="7">
        <v>-1</v>
      </c>
      <c r="Q40" s="6">
        <v>5</v>
      </c>
      <c r="R40" s="7"/>
      <c r="S40" s="7"/>
      <c r="T40" s="42">
        <f t="shared" si="7"/>
        <v>5</v>
      </c>
      <c r="U40" s="26">
        <f>(L$2-N$2)/(L40-N40)</f>
        <v>-16.666666666666668</v>
      </c>
      <c r="V40" s="26">
        <f>L$2-(U40*L40)</f>
        <v>125</v>
      </c>
      <c r="W40" s="24">
        <f>U40*T40+V40</f>
        <v>41.666666666666657</v>
      </c>
      <c r="X40" s="24">
        <f>IF(P40=-1,IF(T40&lt;L40,100,IF(T40&gt;N40,0,W40)),IF(P40=1,IF(T40&gt;L40,100,IF(T40&lt;N40,0,W40))))</f>
        <v>41.666666666666657</v>
      </c>
      <c r="Y40" s="21">
        <f t="shared" si="4"/>
        <v>20</v>
      </c>
      <c r="AB40" s="1" t="str">
        <f>IF(P40=-1,"&gt;","&lt;" )</f>
        <v>&gt;</v>
      </c>
      <c r="AC40">
        <f>(Y40-V40)/U40</f>
        <v>6.3</v>
      </c>
    </row>
    <row r="41" spans="1:29" ht="14.45" x14ac:dyDescent="0.3">
      <c r="A41" t="s">
        <v>76</v>
      </c>
      <c r="B41" s="2">
        <v>0</v>
      </c>
      <c r="D41" s="2">
        <v>1</v>
      </c>
      <c r="E41" s="2">
        <v>458</v>
      </c>
      <c r="G41" t="s">
        <v>35</v>
      </c>
      <c r="H41" t="s">
        <v>155</v>
      </c>
      <c r="I41" t="s">
        <v>25</v>
      </c>
      <c r="J41" t="s">
        <v>57</v>
      </c>
      <c r="K41" s="9">
        <v>0</v>
      </c>
      <c r="L41" s="4">
        <v>0</v>
      </c>
      <c r="M41" s="4"/>
      <c r="N41" s="5">
        <v>1000000</v>
      </c>
      <c r="O41" s="4">
        <v>1000000</v>
      </c>
      <c r="P41" s="4">
        <v>-1</v>
      </c>
      <c r="Q41" s="9">
        <v>5</v>
      </c>
      <c r="R41" s="4"/>
      <c r="S41" s="4"/>
      <c r="T41" s="43">
        <f>Q41</f>
        <v>5</v>
      </c>
      <c r="U41" s="27">
        <f>(L$2-N$2)/(L41-N41)</f>
        <v>-1E-4</v>
      </c>
      <c r="V41" s="27">
        <f>L$2-(U41*L41)</f>
        <v>100</v>
      </c>
      <c r="W41" s="25">
        <f>U41*T41+V41</f>
        <v>99.999499999999998</v>
      </c>
      <c r="X41" s="25">
        <f>IF(P41=-1,IF(T41&lt;L41,100,IF(T41&gt;N41,0,W41)),IF(P41=1,IF(T41&gt;L41,100,IF(T41&lt;N41,0,W41))))</f>
        <v>99.999499999999998</v>
      </c>
      <c r="Y41" s="23">
        <f t="shared" si="4"/>
        <v>20</v>
      </c>
      <c r="AB41" s="1"/>
    </row>
    <row r="42" spans="1:29" ht="14.45" x14ac:dyDescent="0.3">
      <c r="Q42" s="7"/>
      <c r="R42" s="7"/>
      <c r="S42" s="7"/>
      <c r="T42" s="40"/>
    </row>
    <row r="43" spans="1:29" ht="14.45" x14ac:dyDescent="0.3">
      <c r="A43" s="32" t="s">
        <v>106</v>
      </c>
      <c r="Q43" s="7"/>
      <c r="R43" s="7"/>
      <c r="S43" s="7"/>
      <c r="T43" s="40"/>
    </row>
    <row r="44" spans="1:29" ht="14.45" x14ac:dyDescent="0.3">
      <c r="A44" t="s">
        <v>76</v>
      </c>
      <c r="B44" s="2">
        <v>0</v>
      </c>
      <c r="D44" s="2">
        <v>1</v>
      </c>
      <c r="E44" s="2">
        <v>38364</v>
      </c>
      <c r="G44" t="s">
        <v>26</v>
      </c>
      <c r="I44" t="s">
        <v>5</v>
      </c>
      <c r="J44" t="s">
        <v>43</v>
      </c>
      <c r="K44" s="10"/>
      <c r="L44" s="11"/>
      <c r="M44" s="11"/>
      <c r="N44" s="12" t="s">
        <v>45</v>
      </c>
      <c r="O44" s="11" t="s">
        <v>6</v>
      </c>
      <c r="P44" s="11"/>
      <c r="Q44" s="11"/>
      <c r="R44" s="11"/>
      <c r="S44" s="11"/>
      <c r="T44" s="11"/>
      <c r="U44" s="19"/>
      <c r="V44" s="19"/>
      <c r="W44" s="19"/>
      <c r="X44" s="19"/>
      <c r="Y44" s="20"/>
    </row>
    <row r="45" spans="1:29" ht="14.45" x14ac:dyDescent="0.3">
      <c r="A45" t="s">
        <v>76</v>
      </c>
      <c r="B45" s="2">
        <v>0</v>
      </c>
      <c r="D45" s="2">
        <v>1</v>
      </c>
      <c r="E45" s="2">
        <v>15758</v>
      </c>
      <c r="G45" t="s">
        <v>39</v>
      </c>
      <c r="I45" t="s">
        <v>113</v>
      </c>
      <c r="J45" t="s">
        <v>43</v>
      </c>
      <c r="K45" s="6"/>
      <c r="L45" s="7"/>
      <c r="M45" s="7"/>
      <c r="N45" s="8"/>
      <c r="O45" s="7"/>
      <c r="P45" s="7"/>
      <c r="Q45" s="7"/>
      <c r="R45" s="7"/>
      <c r="S45" s="7"/>
      <c r="T45" s="7"/>
      <c r="U45" s="18"/>
      <c r="V45" s="18"/>
      <c r="W45" s="18"/>
      <c r="X45" s="18"/>
      <c r="Y45" s="21"/>
    </row>
    <row r="46" spans="1:29" ht="14.45" x14ac:dyDescent="0.3">
      <c r="A46" t="s">
        <v>76</v>
      </c>
      <c r="B46" s="2">
        <v>0</v>
      </c>
      <c r="D46" s="2">
        <v>1</v>
      </c>
      <c r="E46" s="2">
        <v>4921</v>
      </c>
      <c r="G46" t="s">
        <v>39</v>
      </c>
      <c r="I46" t="s">
        <v>109</v>
      </c>
      <c r="J46" t="s">
        <v>43</v>
      </c>
      <c r="K46" s="6"/>
      <c r="L46" s="7"/>
      <c r="M46" s="7"/>
      <c r="N46" s="8"/>
      <c r="O46" s="7"/>
      <c r="P46" s="7"/>
      <c r="Q46" s="7"/>
      <c r="R46" s="7"/>
      <c r="S46" s="7"/>
      <c r="T46" s="7"/>
      <c r="U46" s="18"/>
      <c r="V46" s="18"/>
      <c r="W46" s="18"/>
      <c r="X46" s="18"/>
      <c r="Y46" s="21"/>
    </row>
    <row r="47" spans="1:29" x14ac:dyDescent="0.25">
      <c r="A47" t="s">
        <v>76</v>
      </c>
      <c r="B47" s="2">
        <v>0</v>
      </c>
      <c r="D47" s="2">
        <v>1</v>
      </c>
      <c r="E47" s="2">
        <v>15758</v>
      </c>
      <c r="G47" t="s">
        <v>27</v>
      </c>
      <c r="I47" t="s">
        <v>110</v>
      </c>
      <c r="J47" t="s">
        <v>43</v>
      </c>
      <c r="K47" s="6"/>
      <c r="L47" s="7"/>
      <c r="M47" s="7"/>
      <c r="N47" s="8"/>
      <c r="O47" s="7"/>
      <c r="P47" s="7"/>
      <c r="Q47" s="7"/>
      <c r="R47" s="7"/>
      <c r="S47" s="7"/>
      <c r="T47" s="7"/>
      <c r="U47" s="18"/>
      <c r="V47" s="18"/>
      <c r="W47" s="18"/>
      <c r="X47" s="18"/>
      <c r="Y47" s="21"/>
    </row>
    <row r="48" spans="1:29" x14ac:dyDescent="0.25">
      <c r="A48" t="s">
        <v>76</v>
      </c>
      <c r="B48" s="2">
        <v>0</v>
      </c>
      <c r="D48" s="2">
        <v>1</v>
      </c>
      <c r="E48" s="2">
        <v>126</v>
      </c>
      <c r="G48" t="s">
        <v>27</v>
      </c>
      <c r="I48" t="s">
        <v>111</v>
      </c>
      <c r="J48" t="s">
        <v>43</v>
      </c>
      <c r="K48" s="6"/>
      <c r="L48" s="7"/>
      <c r="M48" s="7"/>
      <c r="N48" s="8"/>
      <c r="O48" s="7"/>
      <c r="P48" s="7"/>
      <c r="Q48" s="7"/>
      <c r="R48" s="7"/>
      <c r="S48" s="7"/>
      <c r="T48" s="7"/>
      <c r="U48" s="18"/>
      <c r="V48" s="18"/>
      <c r="W48" s="18"/>
      <c r="X48" s="18"/>
      <c r="Y48" s="21"/>
    </row>
    <row r="49" spans="1:25" x14ac:dyDescent="0.25">
      <c r="A49" t="s">
        <v>76</v>
      </c>
      <c r="B49" s="2">
        <v>0</v>
      </c>
      <c r="D49" s="2">
        <v>1</v>
      </c>
      <c r="E49" s="2">
        <v>30609</v>
      </c>
      <c r="G49" t="s">
        <v>36</v>
      </c>
      <c r="I49" t="s">
        <v>37</v>
      </c>
      <c r="J49" t="s">
        <v>43</v>
      </c>
      <c r="K49" s="6"/>
      <c r="L49" s="7" t="s">
        <v>38</v>
      </c>
      <c r="M49" s="7"/>
      <c r="N49" s="8"/>
      <c r="O49" s="7"/>
      <c r="P49" s="7"/>
      <c r="Q49" s="7"/>
      <c r="R49" s="7"/>
      <c r="S49" s="7"/>
      <c r="T49" s="7"/>
      <c r="U49" s="18"/>
      <c r="V49" s="18"/>
      <c r="W49" s="18"/>
      <c r="X49" s="18"/>
      <c r="Y49" s="21"/>
    </row>
    <row r="50" spans="1:25" x14ac:dyDescent="0.25">
      <c r="A50" t="s">
        <v>76</v>
      </c>
      <c r="B50" s="2">
        <v>0</v>
      </c>
      <c r="D50" s="2">
        <v>1</v>
      </c>
      <c r="E50" s="2">
        <v>38364</v>
      </c>
      <c r="G50" t="s">
        <v>112</v>
      </c>
      <c r="I50" t="s">
        <v>5</v>
      </c>
      <c r="J50" t="s">
        <v>43</v>
      </c>
      <c r="K50" s="6"/>
      <c r="L50" s="7"/>
      <c r="M50" s="7"/>
      <c r="N50" s="8"/>
      <c r="O50" s="7"/>
      <c r="P50" s="7"/>
      <c r="Q50" s="7"/>
      <c r="R50" s="7"/>
      <c r="S50" s="7"/>
      <c r="T50" s="7"/>
      <c r="U50" s="18"/>
      <c r="V50" s="18"/>
      <c r="W50" s="18"/>
      <c r="X50" s="18"/>
      <c r="Y50" s="21"/>
    </row>
    <row r="51" spans="1:25" x14ac:dyDescent="0.25">
      <c r="A51" t="s">
        <v>76</v>
      </c>
      <c r="B51" s="2">
        <v>0</v>
      </c>
      <c r="D51" s="2">
        <v>1</v>
      </c>
      <c r="E51" s="2">
        <v>4520</v>
      </c>
      <c r="G51" t="s">
        <v>112</v>
      </c>
      <c r="I51" t="s">
        <v>119</v>
      </c>
      <c r="J51" t="s">
        <v>43</v>
      </c>
      <c r="K51" s="6"/>
      <c r="L51" s="7"/>
      <c r="M51" s="7"/>
      <c r="N51" s="8"/>
      <c r="O51" s="7"/>
      <c r="P51" s="7"/>
      <c r="Q51" s="7"/>
      <c r="R51" s="7"/>
      <c r="S51" s="7"/>
      <c r="T51" s="7"/>
      <c r="U51" s="18"/>
      <c r="V51" s="18"/>
      <c r="W51" s="18"/>
      <c r="X51" s="18"/>
      <c r="Y51" s="21"/>
    </row>
    <row r="52" spans="1:25" x14ac:dyDescent="0.25">
      <c r="A52" t="s">
        <v>76</v>
      </c>
      <c r="B52" s="2">
        <v>0</v>
      </c>
      <c r="D52" s="2">
        <v>1</v>
      </c>
      <c r="E52" s="2">
        <v>8534</v>
      </c>
      <c r="G52" t="s">
        <v>44</v>
      </c>
      <c r="I52" t="s">
        <v>40</v>
      </c>
      <c r="J52" t="s">
        <v>43</v>
      </c>
      <c r="K52" s="9" t="s">
        <v>42</v>
      </c>
      <c r="L52" s="4" t="s">
        <v>42</v>
      </c>
      <c r="M52" s="4" t="s">
        <v>42</v>
      </c>
      <c r="N52" s="5" t="s">
        <v>41</v>
      </c>
      <c r="O52" s="4" t="s">
        <v>41</v>
      </c>
      <c r="P52" s="4"/>
      <c r="Q52" s="4"/>
      <c r="R52" s="4"/>
      <c r="S52" s="4"/>
      <c r="T52" s="4"/>
      <c r="U52" s="22"/>
      <c r="V52" s="22"/>
      <c r="W52" s="22"/>
      <c r="X52" s="22"/>
      <c r="Y52" s="23"/>
    </row>
    <row r="53" spans="1:25" ht="15.75" thickBot="1" x14ac:dyDescent="0.3">
      <c r="K53" s="7"/>
      <c r="L53" s="7"/>
      <c r="M53" s="7"/>
      <c r="N53" s="8"/>
      <c r="O53" s="7"/>
      <c r="P53" s="7"/>
      <c r="Q53" s="7"/>
      <c r="R53" s="7"/>
      <c r="S53" s="7"/>
      <c r="T53" s="7"/>
      <c r="U53" s="18"/>
      <c r="V53" s="18"/>
      <c r="W53" s="18"/>
      <c r="X53" s="18"/>
      <c r="Y53" s="18"/>
    </row>
    <row r="54" spans="1:25" ht="15.75" thickBot="1" x14ac:dyDescent="0.3">
      <c r="A54" t="s">
        <v>76</v>
      </c>
      <c r="F54" t="s">
        <v>62</v>
      </c>
      <c r="J54" t="s">
        <v>55</v>
      </c>
      <c r="X54" s="39">
        <f>MIN(X3:X52)</f>
        <v>0</v>
      </c>
      <c r="Y54" s="13" t="s">
        <v>107</v>
      </c>
    </row>
    <row r="55" spans="1:25" x14ac:dyDescent="0.25">
      <c r="A55" t="s">
        <v>46</v>
      </c>
      <c r="F55" t="s">
        <v>61</v>
      </c>
      <c r="J55" t="s">
        <v>59</v>
      </c>
    </row>
    <row r="56" spans="1:25" x14ac:dyDescent="0.25">
      <c r="F56"/>
    </row>
    <row r="57" spans="1:25" x14ac:dyDescent="0.25">
      <c r="E57" s="2">
        <v>18532</v>
      </c>
      <c r="K57" s="18" t="s">
        <v>66</v>
      </c>
    </row>
    <row r="58" spans="1:25" x14ac:dyDescent="0.25">
      <c r="A58" s="14" t="s">
        <v>104</v>
      </c>
      <c r="B58" s="31" t="s">
        <v>83</v>
      </c>
      <c r="C58" s="31" t="s">
        <v>82</v>
      </c>
      <c r="D58" s="31" t="s">
        <v>81</v>
      </c>
      <c r="E58" s="31" t="s">
        <v>120</v>
      </c>
      <c r="F58" s="31" t="s">
        <v>102</v>
      </c>
      <c r="G58" s="15" t="s">
        <v>100</v>
      </c>
      <c r="H58" s="15"/>
      <c r="I58" s="15" t="s">
        <v>101</v>
      </c>
      <c r="J58" s="16" t="s">
        <v>105</v>
      </c>
      <c r="K58" s="34"/>
      <c r="L58" s="30"/>
      <c r="M58" s="30"/>
      <c r="N58" s="33"/>
      <c r="O58" s="30"/>
      <c r="P58" s="30"/>
      <c r="Q58" s="30"/>
      <c r="R58" s="30"/>
      <c r="S58" s="30"/>
      <c r="T58" s="35"/>
      <c r="U58" s="15"/>
      <c r="V58" s="15"/>
      <c r="W58" s="15"/>
      <c r="X58" s="15"/>
      <c r="Y58" s="16"/>
    </row>
    <row r="59" spans="1:25" s="53" customFormat="1" x14ac:dyDescent="0.25">
      <c r="A59" s="53" t="s">
        <v>103</v>
      </c>
      <c r="B59" s="52"/>
      <c r="C59" s="52"/>
      <c r="D59" s="52"/>
      <c r="E59" s="52"/>
      <c r="F59" s="52"/>
      <c r="G59" s="53" t="s">
        <v>58</v>
      </c>
      <c r="I59" s="53" t="s">
        <v>60</v>
      </c>
      <c r="J59" s="53" t="s">
        <v>59</v>
      </c>
      <c r="K59" s="56"/>
      <c r="L59" s="57"/>
      <c r="M59" s="57"/>
      <c r="N59" s="57"/>
      <c r="O59" s="57"/>
      <c r="P59" s="57"/>
      <c r="Q59" s="57"/>
      <c r="R59" s="57"/>
      <c r="S59" s="57"/>
      <c r="T59" s="67"/>
      <c r="U59" s="68"/>
      <c r="V59" s="68"/>
      <c r="W59" s="68"/>
      <c r="X59" s="68">
        <f>T59</f>
        <v>0</v>
      </c>
      <c r="Y59" s="61"/>
    </row>
    <row r="60" spans="1:25" s="53" customFormat="1" x14ac:dyDescent="0.25">
      <c r="A60" s="53" t="s">
        <v>103</v>
      </c>
      <c r="B60" s="52">
        <v>1</v>
      </c>
      <c r="C60" s="52"/>
      <c r="D60" s="52">
        <v>1</v>
      </c>
      <c r="E60" s="52">
        <v>3464</v>
      </c>
      <c r="F60" s="52"/>
      <c r="G60" s="53" t="s">
        <v>26</v>
      </c>
      <c r="I60" s="53" t="s">
        <v>47</v>
      </c>
      <c r="J60" s="53" t="s">
        <v>59</v>
      </c>
      <c r="K60" s="54"/>
      <c r="L60" s="55"/>
      <c r="M60" s="55"/>
      <c r="N60" s="55"/>
      <c r="O60" s="55"/>
      <c r="P60" s="55"/>
      <c r="Q60" s="55"/>
      <c r="R60" s="55"/>
      <c r="S60" s="55"/>
      <c r="T60" s="69"/>
      <c r="U60" s="70"/>
      <c r="V60" s="70"/>
      <c r="W60" s="70"/>
      <c r="X60" s="70">
        <v>0</v>
      </c>
      <c r="Y60" s="66"/>
    </row>
    <row r="61" spans="1:25" x14ac:dyDescent="0.25">
      <c r="A61" t="s">
        <v>103</v>
      </c>
      <c r="B61" s="2">
        <v>0</v>
      </c>
      <c r="D61" s="2">
        <v>1</v>
      </c>
      <c r="E61" s="2">
        <v>17670</v>
      </c>
      <c r="G61" t="s">
        <v>26</v>
      </c>
      <c r="I61" t="s">
        <v>48</v>
      </c>
      <c r="J61" t="s">
        <v>59</v>
      </c>
      <c r="K61" s="6"/>
      <c r="L61" s="7"/>
      <c r="M61" s="7"/>
      <c r="N61" s="8"/>
      <c r="O61" s="7"/>
      <c r="P61" s="7"/>
      <c r="Q61" s="7"/>
      <c r="R61" s="7"/>
      <c r="S61" s="7"/>
      <c r="T61" s="36"/>
      <c r="U61" s="18"/>
      <c r="V61" s="18"/>
      <c r="W61" s="18"/>
      <c r="X61" s="18">
        <v>0</v>
      </c>
      <c r="Y61" s="21"/>
    </row>
    <row r="62" spans="1:25" s="53" customFormat="1" x14ac:dyDescent="0.25">
      <c r="A62" s="53" t="s">
        <v>103</v>
      </c>
      <c r="B62" s="52">
        <v>0.5</v>
      </c>
      <c r="C62" s="52"/>
      <c r="D62" s="52">
        <v>1</v>
      </c>
      <c r="E62" s="52">
        <v>13704</v>
      </c>
      <c r="F62" s="52"/>
      <c r="G62" s="53" t="s">
        <v>36</v>
      </c>
      <c r="I62" s="53" t="s">
        <v>213</v>
      </c>
      <c r="J62" s="53" t="s">
        <v>59</v>
      </c>
      <c r="K62" s="54"/>
      <c r="L62" s="55"/>
      <c r="M62" s="55"/>
      <c r="N62" s="55"/>
      <c r="O62" s="55"/>
      <c r="P62" s="55"/>
      <c r="Q62" s="55"/>
      <c r="R62" s="55"/>
      <c r="S62" s="55"/>
      <c r="T62" s="69"/>
      <c r="U62" s="70"/>
      <c r="V62" s="70"/>
      <c r="W62" s="70"/>
      <c r="X62" s="70">
        <v>0</v>
      </c>
      <c r="Y62" s="66"/>
    </row>
    <row r="63" spans="1:25" s="53" customFormat="1" x14ac:dyDescent="0.25">
      <c r="A63" s="53" t="s">
        <v>103</v>
      </c>
      <c r="B63" s="52">
        <v>1</v>
      </c>
      <c r="C63" s="52"/>
      <c r="D63" s="52">
        <v>1</v>
      </c>
      <c r="E63" s="52"/>
      <c r="F63" s="52"/>
      <c r="G63" s="53" t="s">
        <v>156</v>
      </c>
      <c r="I63" s="71" t="s">
        <v>65</v>
      </c>
      <c r="J63" s="53" t="s">
        <v>59</v>
      </c>
      <c r="K63" s="54"/>
      <c r="L63" s="55"/>
      <c r="M63" s="55"/>
      <c r="N63" s="55"/>
      <c r="O63" s="55"/>
      <c r="P63" s="55"/>
      <c r="Q63" s="55"/>
      <c r="R63" s="55"/>
      <c r="S63" s="55"/>
      <c r="T63" s="69"/>
      <c r="U63" s="70"/>
      <c r="V63" s="70"/>
      <c r="W63" s="70"/>
      <c r="X63" s="72">
        <v>0</v>
      </c>
      <c r="Y63" s="66"/>
    </row>
    <row r="64" spans="1:25" x14ac:dyDescent="0.25">
      <c r="A64" t="s">
        <v>103</v>
      </c>
      <c r="B64" s="2">
        <v>0</v>
      </c>
      <c r="D64" s="2">
        <v>1</v>
      </c>
      <c r="E64" s="2">
        <v>2358</v>
      </c>
      <c r="G64" t="s">
        <v>44</v>
      </c>
      <c r="I64" t="s">
        <v>212</v>
      </c>
      <c r="J64" t="s">
        <v>59</v>
      </c>
      <c r="K64" s="6"/>
      <c r="L64" s="7"/>
      <c r="M64" s="7"/>
      <c r="N64" s="8"/>
      <c r="O64" s="7"/>
      <c r="P64" s="7"/>
      <c r="Q64" s="7"/>
      <c r="R64" s="7"/>
      <c r="S64" s="7"/>
      <c r="T64" s="36"/>
      <c r="U64" s="18"/>
      <c r="V64" s="18"/>
      <c r="W64" s="18"/>
      <c r="X64" s="38">
        <v>0</v>
      </c>
      <c r="Y64" s="21"/>
    </row>
    <row r="65" spans="1:25" x14ac:dyDescent="0.25">
      <c r="A65" t="s">
        <v>103</v>
      </c>
      <c r="B65" s="2">
        <v>0</v>
      </c>
      <c r="D65" s="2">
        <v>1</v>
      </c>
      <c r="E65" s="2">
        <v>3987</v>
      </c>
      <c r="G65" t="s">
        <v>44</v>
      </c>
      <c r="I65" t="s">
        <v>49</v>
      </c>
      <c r="J65" t="s">
        <v>59</v>
      </c>
      <c r="K65" s="9"/>
      <c r="L65" s="4"/>
      <c r="M65" s="4"/>
      <c r="N65" s="5"/>
      <c r="O65" s="4"/>
      <c r="P65" s="4"/>
      <c r="Q65" s="4"/>
      <c r="R65" s="4"/>
      <c r="S65" s="4"/>
      <c r="T65" s="37"/>
      <c r="U65" s="22"/>
      <c r="V65" s="22"/>
      <c r="W65" s="22"/>
      <c r="X65" s="22">
        <v>0</v>
      </c>
      <c r="Y65" s="23"/>
    </row>
    <row r="66" spans="1:25" ht="15.75" thickBot="1" x14ac:dyDescent="0.3"/>
    <row r="67" spans="1:25" s="53" customFormat="1" ht="15.75" thickBot="1" x14ac:dyDescent="0.3">
      <c r="A67" s="53" t="s">
        <v>103</v>
      </c>
      <c r="B67" s="52"/>
      <c r="C67" s="52"/>
      <c r="D67" s="52"/>
      <c r="E67" s="52"/>
      <c r="F67" s="53" t="s">
        <v>108</v>
      </c>
      <c r="K67" s="62"/>
      <c r="L67" s="62"/>
      <c r="M67" s="62"/>
      <c r="N67" s="62"/>
      <c r="O67" s="62"/>
      <c r="P67" s="62"/>
      <c r="Q67" s="62"/>
      <c r="R67" s="62"/>
      <c r="S67" s="62"/>
      <c r="T67" s="52"/>
      <c r="X67" s="73">
        <f>MIN(X59:X65)</f>
        <v>0</v>
      </c>
      <c r="Y67" s="71" t="s">
        <v>64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71"/>
  <sheetViews>
    <sheetView topLeftCell="A48" workbookViewId="0">
      <selection activeCell="A69" sqref="A69"/>
    </sheetView>
  </sheetViews>
  <sheetFormatPr defaultRowHeight="15" x14ac:dyDescent="0.25"/>
  <cols>
    <col min="1" max="1" width="21.42578125" customWidth="1"/>
    <col min="2" max="2" width="26.7109375" customWidth="1"/>
    <col min="3" max="3" width="49.28515625" customWidth="1"/>
  </cols>
  <sheetData>
    <row r="1" spans="1:5" ht="14.45" x14ac:dyDescent="0.3">
      <c r="A1" s="32" t="s">
        <v>183</v>
      </c>
    </row>
    <row r="3" spans="1:5" ht="14.45" x14ac:dyDescent="0.3">
      <c r="A3" t="s">
        <v>165</v>
      </c>
      <c r="B3" t="s">
        <v>164</v>
      </c>
      <c r="C3" t="s">
        <v>157</v>
      </c>
    </row>
    <row r="4" spans="1:5" ht="14.45" x14ac:dyDescent="0.3">
      <c r="A4" t="s">
        <v>165</v>
      </c>
      <c r="B4" t="s">
        <v>164</v>
      </c>
      <c r="C4" t="s">
        <v>158</v>
      </c>
    </row>
    <row r="5" spans="1:5" ht="14.45" x14ac:dyDescent="0.3">
      <c r="A5" t="s">
        <v>165</v>
      </c>
      <c r="B5" t="s">
        <v>164</v>
      </c>
      <c r="C5" t="s">
        <v>159</v>
      </c>
    </row>
    <row r="6" spans="1:5" ht="14.45" x14ac:dyDescent="0.3">
      <c r="A6" t="s">
        <v>165</v>
      </c>
      <c r="B6" t="s">
        <v>164</v>
      </c>
      <c r="C6" t="s">
        <v>177</v>
      </c>
    </row>
    <row r="7" spans="1:5" ht="14.45" x14ac:dyDescent="0.3">
      <c r="A7" t="s">
        <v>165</v>
      </c>
      <c r="B7" t="s">
        <v>164</v>
      </c>
      <c r="C7" t="s">
        <v>160</v>
      </c>
    </row>
    <row r="8" spans="1:5" ht="14.45" x14ac:dyDescent="0.3">
      <c r="A8" t="s">
        <v>165</v>
      </c>
      <c r="B8" t="s">
        <v>164</v>
      </c>
      <c r="C8" t="s">
        <v>161</v>
      </c>
    </row>
    <row r="9" spans="1:5" ht="14.45" x14ac:dyDescent="0.3">
      <c r="A9" t="s">
        <v>165</v>
      </c>
      <c r="B9" t="s">
        <v>164</v>
      </c>
      <c r="C9" t="s">
        <v>163</v>
      </c>
    </row>
    <row r="10" spans="1:5" ht="14.45" x14ac:dyDescent="0.3">
      <c r="A10" t="s">
        <v>165</v>
      </c>
      <c r="B10" t="s">
        <v>164</v>
      </c>
      <c r="C10" t="s">
        <v>162</v>
      </c>
      <c r="E10" t="s">
        <v>239</v>
      </c>
    </row>
    <row r="11" spans="1:5" ht="14.45" x14ac:dyDescent="0.3">
      <c r="A11" t="s">
        <v>165</v>
      </c>
      <c r="B11" t="s">
        <v>164</v>
      </c>
      <c r="C11" t="s">
        <v>168</v>
      </c>
      <c r="E11" t="s">
        <v>239</v>
      </c>
    </row>
    <row r="12" spans="1:5" ht="14.45" x14ac:dyDescent="0.3">
      <c r="A12" t="s">
        <v>165</v>
      </c>
      <c r="B12" t="s">
        <v>164</v>
      </c>
      <c r="C12" t="s">
        <v>188</v>
      </c>
      <c r="E12" t="s">
        <v>239</v>
      </c>
    </row>
    <row r="13" spans="1:5" ht="14.45" x14ac:dyDescent="0.3">
      <c r="A13" t="s">
        <v>165</v>
      </c>
      <c r="B13" t="s">
        <v>164</v>
      </c>
      <c r="C13" t="s">
        <v>189</v>
      </c>
    </row>
    <row r="14" spans="1:5" ht="14.45" x14ac:dyDescent="0.3">
      <c r="A14" t="s">
        <v>165</v>
      </c>
      <c r="B14" t="s">
        <v>164</v>
      </c>
      <c r="C14" t="s">
        <v>190</v>
      </c>
      <c r="E14" t="s">
        <v>239</v>
      </c>
    </row>
    <row r="15" spans="1:5" ht="14.45" x14ac:dyDescent="0.3">
      <c r="A15" t="s">
        <v>165</v>
      </c>
      <c r="B15" t="s">
        <v>164</v>
      </c>
      <c r="C15" t="s">
        <v>191</v>
      </c>
    </row>
    <row r="16" spans="1:5" ht="14.45" x14ac:dyDescent="0.3">
      <c r="A16" t="s">
        <v>165</v>
      </c>
      <c r="B16" t="s">
        <v>164</v>
      </c>
      <c r="C16" t="s">
        <v>192</v>
      </c>
    </row>
    <row r="17" spans="1:5" ht="14.45" x14ac:dyDescent="0.3">
      <c r="A17" t="s">
        <v>165</v>
      </c>
      <c r="B17" t="s">
        <v>164</v>
      </c>
      <c r="C17" t="s">
        <v>193</v>
      </c>
      <c r="E17" t="s">
        <v>239</v>
      </c>
    </row>
    <row r="18" spans="1:5" ht="14.45" x14ac:dyDescent="0.3">
      <c r="A18" t="s">
        <v>165</v>
      </c>
      <c r="B18" t="s">
        <v>164</v>
      </c>
      <c r="C18" t="s">
        <v>194</v>
      </c>
    </row>
    <row r="19" spans="1:5" ht="14.45" x14ac:dyDescent="0.3">
      <c r="A19" t="s">
        <v>165</v>
      </c>
      <c r="B19" t="s">
        <v>164</v>
      </c>
      <c r="C19" t="s">
        <v>186</v>
      </c>
    </row>
    <row r="21" spans="1:5" ht="14.45" x14ac:dyDescent="0.3">
      <c r="A21" t="s">
        <v>167</v>
      </c>
      <c r="B21" t="s">
        <v>164</v>
      </c>
      <c r="C21" t="s">
        <v>166</v>
      </c>
    </row>
    <row r="22" spans="1:5" ht="14.45" x14ac:dyDescent="0.3">
      <c r="A22" t="s">
        <v>167</v>
      </c>
      <c r="B22" t="s">
        <v>164</v>
      </c>
      <c r="C22" t="s">
        <v>187</v>
      </c>
    </row>
    <row r="23" spans="1:5" ht="14.45" x14ac:dyDescent="0.3">
      <c r="A23" t="s">
        <v>167</v>
      </c>
      <c r="B23" t="s">
        <v>164</v>
      </c>
      <c r="C23" t="s">
        <v>168</v>
      </c>
    </row>
    <row r="24" spans="1:5" ht="14.45" x14ac:dyDescent="0.3">
      <c r="A24" t="s">
        <v>167</v>
      </c>
      <c r="B24" t="s">
        <v>164</v>
      </c>
      <c r="C24" t="s">
        <v>169</v>
      </c>
    </row>
    <row r="25" spans="1:5" ht="14.45" x14ac:dyDescent="0.3">
      <c r="A25" t="s">
        <v>167</v>
      </c>
      <c r="B25" t="s">
        <v>164</v>
      </c>
      <c r="C25" t="s">
        <v>170</v>
      </c>
    </row>
    <row r="26" spans="1:5" x14ac:dyDescent="0.25">
      <c r="A26" t="s">
        <v>167</v>
      </c>
      <c r="B26" t="s">
        <v>164</v>
      </c>
      <c r="C26" t="s">
        <v>195</v>
      </c>
    </row>
    <row r="27" spans="1:5" x14ac:dyDescent="0.25">
      <c r="A27" t="s">
        <v>167</v>
      </c>
      <c r="B27" t="s">
        <v>164</v>
      </c>
      <c r="C27" t="s">
        <v>163</v>
      </c>
    </row>
    <row r="28" spans="1:5" x14ac:dyDescent="0.25">
      <c r="A28" t="s">
        <v>167</v>
      </c>
      <c r="B28" t="s">
        <v>164</v>
      </c>
      <c r="C28" t="s">
        <v>171</v>
      </c>
    </row>
    <row r="29" spans="1:5" x14ac:dyDescent="0.25">
      <c r="A29" t="s">
        <v>167</v>
      </c>
      <c r="B29" t="s">
        <v>164</v>
      </c>
      <c r="C29" t="s">
        <v>172</v>
      </c>
    </row>
    <row r="30" spans="1:5" x14ac:dyDescent="0.25">
      <c r="A30" t="s">
        <v>167</v>
      </c>
      <c r="B30" t="s">
        <v>164</v>
      </c>
      <c r="C30" t="s">
        <v>174</v>
      </c>
      <c r="E30" t="s">
        <v>239</v>
      </c>
    </row>
    <row r="31" spans="1:5" x14ac:dyDescent="0.25">
      <c r="A31" t="s">
        <v>167</v>
      </c>
      <c r="B31" t="s">
        <v>164</v>
      </c>
      <c r="C31" t="s">
        <v>173</v>
      </c>
      <c r="E31" t="s">
        <v>239</v>
      </c>
    </row>
    <row r="32" spans="1:5" x14ac:dyDescent="0.25">
      <c r="A32" t="s">
        <v>167</v>
      </c>
      <c r="B32" t="s">
        <v>164</v>
      </c>
      <c r="C32" t="s">
        <v>175</v>
      </c>
    </row>
    <row r="33" spans="1:5" x14ac:dyDescent="0.25">
      <c r="A33" t="s">
        <v>167</v>
      </c>
      <c r="B33" t="s">
        <v>164</v>
      </c>
      <c r="C33" t="s">
        <v>176</v>
      </c>
    </row>
    <row r="34" spans="1:5" x14ac:dyDescent="0.25">
      <c r="A34" t="s">
        <v>167</v>
      </c>
      <c r="B34" t="s">
        <v>164</v>
      </c>
      <c r="C34" t="s">
        <v>179</v>
      </c>
    </row>
    <row r="35" spans="1:5" x14ac:dyDescent="0.25">
      <c r="A35" t="s">
        <v>167</v>
      </c>
      <c r="B35" t="s">
        <v>164</v>
      </c>
      <c r="C35" t="s">
        <v>178</v>
      </c>
    </row>
    <row r="36" spans="1:5" x14ac:dyDescent="0.25">
      <c r="A36" t="s">
        <v>167</v>
      </c>
      <c r="B36" t="s">
        <v>164</v>
      </c>
      <c r="C36" t="s">
        <v>196</v>
      </c>
    </row>
    <row r="37" spans="1:5" x14ac:dyDescent="0.25">
      <c r="A37" t="s">
        <v>167</v>
      </c>
      <c r="B37" t="s">
        <v>164</v>
      </c>
      <c r="C37" t="s">
        <v>202</v>
      </c>
    </row>
    <row r="38" spans="1:5" x14ac:dyDescent="0.25">
      <c r="A38" t="s">
        <v>167</v>
      </c>
      <c r="B38" t="s">
        <v>164</v>
      </c>
      <c r="C38" t="s">
        <v>241</v>
      </c>
    </row>
    <row r="39" spans="1:5" x14ac:dyDescent="0.25">
      <c r="A39" t="s">
        <v>167</v>
      </c>
      <c r="B39" t="s">
        <v>164</v>
      </c>
      <c r="C39" t="s">
        <v>198</v>
      </c>
      <c r="E39" t="s">
        <v>239</v>
      </c>
    </row>
    <row r="40" spans="1:5" x14ac:dyDescent="0.25">
      <c r="A40" t="s">
        <v>167</v>
      </c>
      <c r="B40" t="s">
        <v>103</v>
      </c>
      <c r="C40" t="s">
        <v>242</v>
      </c>
      <c r="E40" t="s">
        <v>239</v>
      </c>
    </row>
    <row r="41" spans="1:5" x14ac:dyDescent="0.25">
      <c r="A41" t="s">
        <v>167</v>
      </c>
      <c r="B41" t="s">
        <v>103</v>
      </c>
      <c r="C41" t="s">
        <v>243</v>
      </c>
      <c r="E41" t="s">
        <v>239</v>
      </c>
    </row>
    <row r="42" spans="1:5" x14ac:dyDescent="0.25">
      <c r="A42" t="s">
        <v>167</v>
      </c>
      <c r="B42" t="s">
        <v>103</v>
      </c>
      <c r="C42" t="s">
        <v>180</v>
      </c>
    </row>
    <row r="43" spans="1:5" x14ac:dyDescent="0.25">
      <c r="A43" t="s">
        <v>167</v>
      </c>
      <c r="B43" t="s">
        <v>103</v>
      </c>
      <c r="C43" t="s">
        <v>240</v>
      </c>
      <c r="E43" t="s">
        <v>239</v>
      </c>
    </row>
    <row r="44" spans="1:5" x14ac:dyDescent="0.25">
      <c r="A44" t="s">
        <v>167</v>
      </c>
      <c r="B44" t="s">
        <v>103</v>
      </c>
      <c r="C44" t="s">
        <v>181</v>
      </c>
      <c r="E44" t="s">
        <v>239</v>
      </c>
    </row>
    <row r="45" spans="1:5" x14ac:dyDescent="0.25">
      <c r="A45" t="s">
        <v>199</v>
      </c>
      <c r="B45" t="s">
        <v>103</v>
      </c>
      <c r="C45" t="s">
        <v>200</v>
      </c>
    </row>
    <row r="47" spans="1:5" x14ac:dyDescent="0.25">
      <c r="A47" t="s">
        <v>167</v>
      </c>
      <c r="B47" t="s">
        <v>103</v>
      </c>
      <c r="C47" t="s">
        <v>182</v>
      </c>
      <c r="D47" t="s">
        <v>201</v>
      </c>
      <c r="E47" t="s">
        <v>239</v>
      </c>
    </row>
    <row r="48" spans="1:5" x14ac:dyDescent="0.25">
      <c r="A48" t="s">
        <v>167</v>
      </c>
      <c r="B48" t="s">
        <v>103</v>
      </c>
      <c r="C48" t="s">
        <v>197</v>
      </c>
      <c r="D48" t="s">
        <v>201</v>
      </c>
      <c r="E48" t="s">
        <v>239</v>
      </c>
    </row>
    <row r="49" spans="1:5" x14ac:dyDescent="0.25">
      <c r="A49" t="s">
        <v>165</v>
      </c>
      <c r="B49" t="s">
        <v>103</v>
      </c>
      <c r="C49" t="s">
        <v>214</v>
      </c>
      <c r="D49" t="s">
        <v>201</v>
      </c>
      <c r="E49" t="s">
        <v>239</v>
      </c>
    </row>
    <row r="50" spans="1:5" x14ac:dyDescent="0.25">
      <c r="A50" t="s">
        <v>165</v>
      </c>
      <c r="B50" t="s">
        <v>103</v>
      </c>
      <c r="C50" t="s">
        <v>215</v>
      </c>
      <c r="D50" t="s">
        <v>201</v>
      </c>
    </row>
    <row r="51" spans="1:5" x14ac:dyDescent="0.25">
      <c r="A51" t="s">
        <v>165</v>
      </c>
      <c r="B51" t="s">
        <v>103</v>
      </c>
      <c r="C51" t="s">
        <v>216</v>
      </c>
      <c r="D51" t="s">
        <v>201</v>
      </c>
      <c r="E51" t="s">
        <v>239</v>
      </c>
    </row>
    <row r="52" spans="1:5" x14ac:dyDescent="0.25">
      <c r="A52" t="s">
        <v>165</v>
      </c>
      <c r="B52" t="s">
        <v>103</v>
      </c>
      <c r="C52" t="s">
        <v>217</v>
      </c>
      <c r="D52" t="s">
        <v>201</v>
      </c>
    </row>
    <row r="53" spans="1:5" x14ac:dyDescent="0.25">
      <c r="A53" t="s">
        <v>165</v>
      </c>
      <c r="B53" t="s">
        <v>103</v>
      </c>
      <c r="C53" t="s">
        <v>218</v>
      </c>
      <c r="D53" t="s">
        <v>201</v>
      </c>
    </row>
    <row r="54" spans="1:5" x14ac:dyDescent="0.25">
      <c r="A54" t="s">
        <v>165</v>
      </c>
      <c r="B54" t="s">
        <v>103</v>
      </c>
      <c r="C54" t="s">
        <v>219</v>
      </c>
      <c r="D54" t="s">
        <v>201</v>
      </c>
    </row>
    <row r="55" spans="1:5" x14ac:dyDescent="0.25">
      <c r="A55" t="s">
        <v>221</v>
      </c>
      <c r="B55" t="s">
        <v>103</v>
      </c>
      <c r="C55" t="s">
        <v>220</v>
      </c>
      <c r="D55" t="s">
        <v>201</v>
      </c>
    </row>
    <row r="58" spans="1:5" x14ac:dyDescent="0.25">
      <c r="A58" t="s">
        <v>204</v>
      </c>
    </row>
    <row r="59" spans="1:5" x14ac:dyDescent="0.25">
      <c r="A59" t="s">
        <v>203</v>
      </c>
    </row>
    <row r="60" spans="1:5" x14ac:dyDescent="0.25">
      <c r="A60" t="s">
        <v>184</v>
      </c>
    </row>
    <row r="61" spans="1:5" x14ac:dyDescent="0.25">
      <c r="A61" t="s">
        <v>185</v>
      </c>
    </row>
    <row r="63" spans="1:5" x14ac:dyDescent="0.25">
      <c r="A63" t="s">
        <v>205</v>
      </c>
    </row>
    <row r="65" spans="1:1" x14ac:dyDescent="0.25">
      <c r="A65" t="s">
        <v>247</v>
      </c>
    </row>
    <row r="66" spans="1:1" x14ac:dyDescent="0.25">
      <c r="A66" t="s">
        <v>222</v>
      </c>
    </row>
    <row r="67" spans="1:1" x14ac:dyDescent="0.25">
      <c r="A67" t="s">
        <v>249</v>
      </c>
    </row>
    <row r="68" spans="1:1" x14ac:dyDescent="0.25">
      <c r="A68" t="s">
        <v>250</v>
      </c>
    </row>
    <row r="70" spans="1:1" x14ac:dyDescent="0.25">
      <c r="A70" t="s">
        <v>206</v>
      </c>
    </row>
    <row r="71" spans="1:1" x14ac:dyDescent="0.25">
      <c r="A71" t="s">
        <v>248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D14"/>
  <sheetViews>
    <sheetView workbookViewId="0">
      <selection activeCell="D10" sqref="D10"/>
    </sheetView>
  </sheetViews>
  <sheetFormatPr defaultRowHeight="15" x14ac:dyDescent="0.25"/>
  <cols>
    <col min="1" max="1" width="24" customWidth="1"/>
  </cols>
  <sheetData>
    <row r="1" spans="1:4" x14ac:dyDescent="0.3">
      <c r="B1" t="s">
        <v>234</v>
      </c>
      <c r="C1" t="s">
        <v>232</v>
      </c>
      <c r="D1" t="s">
        <v>244</v>
      </c>
    </row>
    <row r="2" spans="1:4" x14ac:dyDescent="0.3">
      <c r="A2" s="79" t="s">
        <v>225</v>
      </c>
      <c r="B2">
        <v>1</v>
      </c>
      <c r="C2">
        <v>5</v>
      </c>
      <c r="D2" s="83">
        <v>10</v>
      </c>
    </row>
    <row r="3" spans="1:4" x14ac:dyDescent="0.3">
      <c r="A3" s="79" t="s">
        <v>226</v>
      </c>
      <c r="B3">
        <v>2</v>
      </c>
      <c r="C3">
        <v>30</v>
      </c>
      <c r="D3" s="83">
        <v>40</v>
      </c>
    </row>
    <row r="4" spans="1:4" x14ac:dyDescent="0.3">
      <c r="A4" s="79" t="s">
        <v>227</v>
      </c>
      <c r="B4">
        <v>3</v>
      </c>
      <c r="C4">
        <v>60</v>
      </c>
      <c r="D4" s="83">
        <v>75</v>
      </c>
    </row>
    <row r="5" spans="1:4" x14ac:dyDescent="0.3">
      <c r="A5" s="79" t="s">
        <v>228</v>
      </c>
      <c r="B5">
        <v>4</v>
      </c>
      <c r="C5">
        <v>100</v>
      </c>
      <c r="D5" s="83">
        <v>115</v>
      </c>
    </row>
    <row r="6" spans="1:4" x14ac:dyDescent="0.3">
      <c r="A6" s="79" t="s">
        <v>229</v>
      </c>
      <c r="B6">
        <v>5</v>
      </c>
      <c r="C6">
        <v>150</v>
      </c>
      <c r="D6" s="83">
        <v>160</v>
      </c>
    </row>
    <row r="7" spans="1:4" x14ac:dyDescent="0.3">
      <c r="A7" s="79" t="s">
        <v>230</v>
      </c>
      <c r="B7">
        <v>6</v>
      </c>
      <c r="C7">
        <v>200</v>
      </c>
      <c r="D7" s="83">
        <v>210</v>
      </c>
    </row>
    <row r="8" spans="1:4" x14ac:dyDescent="0.3">
      <c r="A8" s="79" t="s">
        <v>231</v>
      </c>
      <c r="B8">
        <v>7</v>
      </c>
      <c r="C8">
        <v>250</v>
      </c>
      <c r="D8" s="83">
        <v>265</v>
      </c>
    </row>
    <row r="10" spans="1:4" x14ac:dyDescent="0.3">
      <c r="A10" s="81" t="s">
        <v>235</v>
      </c>
      <c r="D10" s="84" t="s">
        <v>245</v>
      </c>
    </row>
    <row r="11" spans="1:4" x14ac:dyDescent="0.3">
      <c r="A11" s="86"/>
      <c r="B11" s="87"/>
      <c r="C11" s="87"/>
    </row>
    <row r="12" spans="1:4" x14ac:dyDescent="0.3">
      <c r="A12" s="86"/>
      <c r="B12" s="87"/>
      <c r="C12" s="87"/>
    </row>
    <row r="13" spans="1:4" x14ac:dyDescent="0.3">
      <c r="A13" s="86"/>
      <c r="B13" s="87"/>
      <c r="C13" s="87"/>
    </row>
    <row r="14" spans="1:4" x14ac:dyDescent="0.3">
      <c r="A14" s="85"/>
      <c r="B14" s="85"/>
      <c r="C14" s="8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ERZD rules</vt:lpstr>
      <vt:lpstr>Gyga grids</vt:lpstr>
      <vt:lpstr>drainage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LEENAARS</dc:creator>
  <cp:lastModifiedBy>Ruiperez Gonzalez, Maria</cp:lastModifiedBy>
  <dcterms:created xsi:type="dcterms:W3CDTF">2014-12-08T13:35:03Z</dcterms:created>
  <dcterms:modified xsi:type="dcterms:W3CDTF">2015-06-16T11:32:03Z</dcterms:modified>
</cp:coreProperties>
</file>